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225" yWindow="-15" windowWidth="12300" windowHeight="10950" tabRatio="700"/>
  </bookViews>
  <sheets>
    <sheet name="Inleiding" sheetId="9" r:id="rId1"/>
    <sheet name="Subcategorieën" sheetId="28" r:id="rId2"/>
    <sheet name="Afdanking tbv recycling" sheetId="24" r:id="rId3"/>
    <sheet name="Recycling" sheetId="25" r:id="rId4"/>
    <sheet name="Extern recyclaat" sheetId="23" r:id="rId5"/>
    <sheet name="Intern recyclaat" sheetId="19" r:id="rId6"/>
    <sheet name="Ontwerpaanpassingen" sheetId="11" state="hidden" r:id="rId7"/>
    <sheet name="Materiaalbesparing" sheetId="34" r:id="rId8"/>
    <sheet name="Ander type kunststof" sheetId="12" r:id="rId9"/>
    <sheet name="Biopolymeren GER" sheetId="33" r:id="rId10"/>
    <sheet name="Biopolymeren CO2" sheetId="35" r:id="rId11"/>
    <sheet name="Substitutie" sheetId="13" r:id="rId12"/>
    <sheet name="Ander transportmiddel" sheetId="29" r:id="rId13"/>
    <sheet name="Transport minder km" sheetId="30" r:id="rId14"/>
    <sheet name="Transport Beladingsgraad" sheetId="32" r:id="rId15"/>
    <sheet name="GER-waarden" sheetId="17" r:id="rId16"/>
    <sheet name="Colofon" sheetId="37" r:id="rId17"/>
  </sheets>
  <definedNames>
    <definedName name="_xlnm.Print_Area" localSheetId="2">'Afdanking tbv recycling'!$B$2:$H$54</definedName>
    <definedName name="_xlnm.Print_Area" localSheetId="12">'Ander transportmiddel'!$B$2:$H$48</definedName>
    <definedName name="_xlnm.Print_Area" localSheetId="8">'Ander type kunststof'!$B$2:$H$57</definedName>
    <definedName name="_xlnm.Print_Area" localSheetId="10">'Biopolymeren CO2'!$B$2:$H$60</definedName>
    <definedName name="_xlnm.Print_Area" localSheetId="9">'Biopolymeren GER'!$B$2:$H$57</definedName>
    <definedName name="_xlnm.Print_Area" localSheetId="4">'Extern recyclaat'!$B$2:$H$60</definedName>
    <definedName name="_xlnm.Print_Area" localSheetId="15">'GER-waarden'!$B$2:$H$70</definedName>
    <definedName name="_xlnm.Print_Area" localSheetId="0">Inleiding!$B$2:$O$75</definedName>
    <definedName name="_xlnm.Print_Area" localSheetId="5">'Intern recyclaat'!$B$2:$H$59</definedName>
    <definedName name="_xlnm.Print_Area" localSheetId="7">Materiaalbesparing!$B$2:$H$57</definedName>
    <definedName name="_xlnm.Print_Area" localSheetId="3">Recycling!$B$2:$H$61</definedName>
    <definedName name="_xlnm.Print_Area" localSheetId="1">Subcategorieën!$B$2:$O$36</definedName>
    <definedName name="_xlnm.Print_Area" localSheetId="11">Substitutie!$B$2:$H$61</definedName>
    <definedName name="_xlnm.Print_Area" localSheetId="14">'Transport Beladingsgraad'!$B$4:$H$50</definedName>
    <definedName name="_xlnm.Print_Area" localSheetId="13">'Transport minder km'!$B$4:$H$45</definedName>
    <definedName name="Dropdown_afdanking">'GER-waarden'!$F$137</definedName>
    <definedName name="Grondstoffen" localSheetId="12">#REF!</definedName>
    <definedName name="Grondstoffen" localSheetId="16">#REF!</definedName>
    <definedName name="Grondstoffen" localSheetId="14">#REF!</definedName>
    <definedName name="Grondstoffen" localSheetId="13">#REF!</definedName>
    <definedName name="Grondstoffen">#REF!</definedName>
    <definedName name="grondstoffen2" localSheetId="16">#REF!</definedName>
    <definedName name="grondstoffen2" localSheetId="14">#REF!</definedName>
    <definedName name="grondstoffen2">#REF!</definedName>
    <definedName name="Grondstoffen3" localSheetId="16">#REF!</definedName>
    <definedName name="Grondstoffen3">#REF!</definedName>
  </definedNames>
  <calcPr calcId="145621"/>
</workbook>
</file>

<file path=xl/calcChain.xml><?xml version="1.0" encoding="utf-8"?>
<calcChain xmlns="http://schemas.openxmlformats.org/spreadsheetml/2006/main">
  <c r="D29" i="29" l="1"/>
  <c r="E33" i="32" l="1"/>
  <c r="D33" i="32"/>
  <c r="E26" i="32" l="1"/>
  <c r="E30" i="32" s="1"/>
  <c r="D26" i="32"/>
  <c r="D31" i="32" l="1"/>
  <c r="D32" i="32" s="1"/>
  <c r="F37" i="32" s="1"/>
  <c r="F38" i="32" s="1"/>
  <c r="D30" i="32"/>
  <c r="E31" i="32"/>
  <c r="E32" i="32" l="1"/>
  <c r="F40" i="32" s="1"/>
  <c r="D33" i="25" l="1"/>
  <c r="F50" i="25"/>
  <c r="E156" i="17"/>
  <c r="E150" i="17"/>
  <c r="D156" i="17"/>
  <c r="D157" i="17" s="1"/>
  <c r="D150" i="17"/>
  <c r="D151" i="17" s="1"/>
  <c r="E145" i="17"/>
  <c r="E137" i="17"/>
  <c r="E144" i="17"/>
  <c r="D144" i="17"/>
  <c r="E146" i="17" s="1"/>
  <c r="E151" i="17" l="1"/>
  <c r="E157" i="17"/>
  <c r="D145" i="17"/>
  <c r="D137" i="17"/>
  <c r="E138" i="17" s="1"/>
  <c r="F137" i="17" s="1"/>
  <c r="C39" i="17"/>
  <c r="D138" i="17" l="1"/>
  <c r="C45" i="17"/>
  <c r="C44" i="17"/>
  <c r="C43" i="17"/>
  <c r="C42" i="17"/>
  <c r="C41" i="17"/>
  <c r="C40" i="17"/>
  <c r="D30" i="25" l="1"/>
  <c r="D31" i="25"/>
  <c r="D32" i="25"/>
  <c r="D34" i="25"/>
  <c r="D30" i="23" l="1"/>
  <c r="F47" i="25"/>
  <c r="D30" i="35" l="1"/>
  <c r="D29" i="35"/>
  <c r="F42" i="35" s="1"/>
  <c r="D29" i="23"/>
  <c r="D27" i="24"/>
  <c r="D27" i="33" l="1"/>
  <c r="F47" i="35" l="1"/>
  <c r="F43" i="35"/>
  <c r="F44" i="35" s="1"/>
  <c r="F46" i="35"/>
  <c r="D26" i="33"/>
  <c r="F39" i="33" s="1"/>
  <c r="F43" i="33"/>
  <c r="F44" i="33"/>
  <c r="F40" i="33"/>
  <c r="D27" i="34"/>
  <c r="F43" i="34" s="1"/>
  <c r="D26" i="34"/>
  <c r="F39" i="34" s="1"/>
  <c r="F44" i="34"/>
  <c r="F40" i="34"/>
  <c r="F32" i="30"/>
  <c r="F33" i="30" s="1"/>
  <c r="F35" i="30"/>
  <c r="F36" i="30" s="1"/>
  <c r="D31" i="29"/>
  <c r="D30" i="29"/>
  <c r="F47" i="23"/>
  <c r="F43" i="23"/>
  <c r="F43" i="24"/>
  <c r="F40" i="24"/>
  <c r="F46" i="19"/>
  <c r="F42" i="19"/>
  <c r="F48" i="13"/>
  <c r="F43" i="13"/>
  <c r="F44" i="12"/>
  <c r="F40" i="12"/>
  <c r="D27" i="13"/>
  <c r="F47" i="13" s="1"/>
  <c r="D29" i="13"/>
  <c r="F46" i="13" s="1"/>
  <c r="D28" i="13"/>
  <c r="F41" i="13" s="1"/>
  <c r="D27" i="12"/>
  <c r="F43" i="12" s="1"/>
  <c r="D26" i="12"/>
  <c r="F39" i="12" s="1"/>
  <c r="F41" i="32" l="1"/>
  <c r="F43" i="32" s="1"/>
  <c r="F41" i="33"/>
  <c r="F45" i="33"/>
  <c r="F45" i="34"/>
  <c r="F41" i="34"/>
  <c r="F48" i="35"/>
  <c r="F50" i="35" s="1"/>
  <c r="F51" i="35" s="1"/>
  <c r="F53" i="35" s="1"/>
  <c r="D14" i="35" s="1"/>
  <c r="F35" i="29"/>
  <c r="F36" i="29" s="1"/>
  <c r="F38" i="30"/>
  <c r="F39" i="30" s="1"/>
  <c r="F41" i="30" s="1"/>
  <c r="D13" i="30" s="1"/>
  <c r="F38" i="29"/>
  <c r="F39" i="29" s="1"/>
  <c r="F41" i="12"/>
  <c r="F45" i="12"/>
  <c r="F42" i="13"/>
  <c r="F44" i="13" s="1"/>
  <c r="F49" i="13"/>
  <c r="D29" i="19"/>
  <c r="D28" i="19"/>
  <c r="D14" i="30" l="1"/>
  <c r="D15" i="30"/>
  <c r="D16" i="30" s="1"/>
  <c r="F45" i="19"/>
  <c r="F47" i="19" s="1"/>
  <c r="F41" i="19"/>
  <c r="F43" i="19" s="1"/>
  <c r="D16" i="35"/>
  <c r="D17" i="35" s="1"/>
  <c r="F41" i="29"/>
  <c r="F42" i="29" s="1"/>
  <c r="F44" i="29" s="1"/>
  <c r="D11" i="29" s="1"/>
  <c r="F47" i="34"/>
  <c r="F48" i="34" s="1"/>
  <c r="F50" i="34" s="1"/>
  <c r="D11" i="34" s="1"/>
  <c r="D13" i="34" s="1"/>
  <c r="F47" i="12"/>
  <c r="F48" i="12" s="1"/>
  <c r="F50" i="12" s="1"/>
  <c r="D11" i="12" s="1"/>
  <c r="D13" i="12" s="1"/>
  <c r="D15" i="35"/>
  <c r="F47" i="33"/>
  <c r="F51" i="13"/>
  <c r="F52" i="13" s="1"/>
  <c r="F54" i="13" s="1"/>
  <c r="D11" i="13" s="1"/>
  <c r="D13" i="13" s="1"/>
  <c r="D28" i="23"/>
  <c r="F49" i="19" l="1"/>
  <c r="F50" i="19" s="1"/>
  <c r="F52" i="19" s="1"/>
  <c r="F46" i="23"/>
  <c r="F48" i="23" s="1"/>
  <c r="F42" i="23"/>
  <c r="F44" i="23" s="1"/>
  <c r="D12" i="29"/>
  <c r="D13" i="29"/>
  <c r="D14" i="29" s="1"/>
  <c r="D14" i="12"/>
  <c r="D12" i="12"/>
  <c r="D14" i="34"/>
  <c r="D12" i="34"/>
  <c r="F48" i="33"/>
  <c r="F50" i="33" s="1"/>
  <c r="D11" i="33" s="1"/>
  <c r="D13" i="33" s="1"/>
  <c r="D14" i="13"/>
  <c r="D12" i="13"/>
  <c r="D29" i="25"/>
  <c r="F50" i="23" l="1"/>
  <c r="F51" i="23" s="1"/>
  <c r="F53" i="23" s="1"/>
  <c r="F46" i="25"/>
  <c r="F49" i="25"/>
  <c r="D12" i="33"/>
  <c r="D14" i="33"/>
  <c r="D11" i="19"/>
  <c r="D13" i="19" l="1"/>
  <c r="D14" i="19" s="1"/>
  <c r="D12" i="19"/>
  <c r="F52" i="25"/>
  <c r="F54" i="25" s="1"/>
  <c r="D11" i="25" s="1"/>
  <c r="D11" i="23"/>
  <c r="D12" i="23" l="1"/>
  <c r="D13" i="23"/>
  <c r="D14" i="23" s="1"/>
  <c r="D12" i="25"/>
  <c r="D13" i="25"/>
  <c r="D14" i="25" s="1"/>
  <c r="E25" i="24" l="1"/>
  <c r="D26" i="24" s="1"/>
  <c r="F42" i="24" l="1"/>
  <c r="F39" i="24"/>
  <c r="F16" i="11"/>
  <c r="F17" i="11"/>
  <c r="F13" i="11"/>
  <c r="F14" i="11"/>
  <c r="F19" i="11"/>
  <c r="F20" i="11"/>
  <c r="F21" i="11"/>
  <c r="F45" i="24" l="1"/>
  <c r="F47" i="24" s="1"/>
  <c r="D11" i="24" s="1"/>
  <c r="D13" i="24" l="1"/>
  <c r="D14" i="24" s="1"/>
  <c r="D12" i="24"/>
  <c r="F44" i="32" l="1"/>
  <c r="F46" i="32" s="1"/>
  <c r="D13" i="32" l="1"/>
  <c r="D14" i="32" l="1"/>
  <c r="D15" i="32"/>
  <c r="D16" i="32" s="1"/>
</calcChain>
</file>

<file path=xl/sharedStrings.xml><?xml version="1.0" encoding="utf-8"?>
<sst xmlns="http://schemas.openxmlformats.org/spreadsheetml/2006/main" count="1327" uniqueCount="432">
  <si>
    <t>Eenheid</t>
  </si>
  <si>
    <t>GJ/ton</t>
  </si>
  <si>
    <t xml:space="preserve">Huidige situatie </t>
  </si>
  <si>
    <t>Bron</t>
  </si>
  <si>
    <t xml:space="preserve">Overzicht van verkoop </t>
  </si>
  <si>
    <t>Overzicht van inkoop</t>
  </si>
  <si>
    <t xml:space="preserve">1. Vul de groene cellen uit de tabel in. </t>
  </si>
  <si>
    <t>4. Energiebesparing</t>
  </si>
  <si>
    <t xml:space="preserve">GJ/ton </t>
  </si>
  <si>
    <t>Productspecificaties</t>
  </si>
  <si>
    <t>Hoeveelheid materiaal inkoop</t>
  </si>
  <si>
    <t>PP</t>
  </si>
  <si>
    <t>n.v.t.</t>
  </si>
  <si>
    <t>ABS</t>
  </si>
  <si>
    <t>EPS</t>
  </si>
  <si>
    <t>PS</t>
  </si>
  <si>
    <t>PET</t>
  </si>
  <si>
    <t>HDPE</t>
  </si>
  <si>
    <t>LDPE</t>
  </si>
  <si>
    <t>PVC</t>
  </si>
  <si>
    <t>PC</t>
  </si>
  <si>
    <t xml:space="preserve">Soort materiaal </t>
  </si>
  <si>
    <t>Product volume (stuks)</t>
  </si>
  <si>
    <t>Hoeveelheid materiaal naar recycling</t>
  </si>
  <si>
    <t>Energiebesparing totaal (= energiebesparing per product * productvolume)</t>
  </si>
  <si>
    <t>PA66</t>
  </si>
  <si>
    <t>GER-waarde</t>
  </si>
  <si>
    <t>2. GER-waarde referentiesituatie</t>
  </si>
  <si>
    <t>De GER-waarde per product = GER-waarde van het materiaal / aantal producten in de referentiesituatie</t>
  </si>
  <si>
    <t>3. GER-waarde huidige situatie</t>
  </si>
  <si>
    <t>De GER-waarde per product = GER-waarde van het materiaal / aantal producten in de huidige situatie</t>
  </si>
  <si>
    <t>Energiebesparing per product (= GER-waarde oude situatie - GER-waarde nieuwe situatie)</t>
  </si>
  <si>
    <t xml:space="preserve">De GER-waarde van het materiaal in de referentiesituatie = het totale gewicht aan materiaal * GER-waarde van het materiaal </t>
  </si>
  <si>
    <t xml:space="preserve">De GER-waarde van het materiaal in de huidige situatie = het totale gewicht aan materiaal * de GER-waarde van het materiaal </t>
  </si>
  <si>
    <t>GER-waarde het materiaal</t>
  </si>
  <si>
    <t>Invullen in e-MJV</t>
  </si>
  <si>
    <t>Hoeveelheid afval</t>
  </si>
  <si>
    <t>Hoeveelheid materiaal naar afval verwerking</t>
  </si>
  <si>
    <t>GER-waarde verwerking afval</t>
  </si>
  <si>
    <t>Gemiddelde ritafstand</t>
  </si>
  <si>
    <t>GJ / stuk</t>
  </si>
  <si>
    <t>De GER-waarde van het materiaal in de referentiesituatie = het totale gewicht aan materiaal per jaar * GER-waarde van het materiaal per kg</t>
  </si>
  <si>
    <t>GJ / jaar</t>
  </si>
  <si>
    <t>TJ / jaar</t>
  </si>
  <si>
    <t>Ketenmaatregelen worden uitgevoerd door diverse partijen. Om dubbeltellingen te voorkomen dient de omvang van de totale maatregel daarom verdeeld te worden tussen de betrokken partijen. Agentschap NL werkt momenteel aan deze zogenaamde verdeelsleutel. U kunt het eMJV invullen en de totale besparingsomvang van een ketenmaatregel (onverdeeld) invoeren. Wanneer de afspraken over de verdeelsleutel zijn gemaakt, zal Agentschap NL deze verdeelsleutel nog toepassen.</t>
  </si>
  <si>
    <t xml:space="preserve">Vermindering van het materiaalgebruik is mogelijk door alert te zijn op overdimensioneren en door slimmer te construeren. Verkies bijvoorbeeld ribben in plaats van extra materiaaldikte en gebruik waar mogelijk holle vormen. Of maak sterkte- en stijfheidberekeningen om te bepalen wat de minimale afmetingen van de onderdelen moeten zijn. 
Heeft u het sinds het referentiejaar aan materiaalbesparing gewerkt? En heeft u daardoor een reductie van materiaalinkoop bewerkstelligd? Vul dan deze maatregel in.
</t>
  </si>
  <si>
    <t>De GER-waarde van het materiaal in de referentiesituatie = (het totale gewicht aan materiaal * GER-waarde van het virgin materiaal) + (hoeveelheid afval referentie situatie* GER-waarde verwerking afval)</t>
  </si>
  <si>
    <t xml:space="preserve">De totale GER-waarde van het materiaal in de referentiesituatie = (hoeveelheid virgin materiaal * GER-waarde van het virgin materiaal) + (hoeveelheid recyclaat * (GER-waarde van recyclaat - GER-waarde verwerking afval)) </t>
  </si>
  <si>
    <t>Let op! Indien uw eigen bedrijfsenergiegebruik stijgt of daalt als gevolg van de ketenmaatregel (door bijvoorbeeld het aanschaffen van nieuwe machines of het aanpassen van instellingen van bestaande machines) dan dient u deze ontsparing of besparing af te trekken of toe te voegen aan de besparingsomvang van de ketenmaatregel. U kunt rekenen met de volgende omrekenfactoren: 
1 Nm3 aardgas = 0,03165 GJ GER-waarde
1 kWh elektriciteit = 0,009 GJ GER-waarde</t>
  </si>
  <si>
    <t>subcategorie 'Materiaalbesparing'</t>
  </si>
  <si>
    <r>
      <t xml:space="preserve">Materiaalbesparing door ontwerpaanpassingen
</t>
    </r>
    <r>
      <rPr>
        <b/>
        <sz val="10"/>
        <rFont val="Arial"/>
        <family val="2"/>
      </rPr>
      <t>subcategorie 'Materiaalbesparing'</t>
    </r>
    <r>
      <rPr>
        <b/>
        <sz val="12"/>
        <rFont val="Arial"/>
        <family val="2"/>
      </rPr>
      <t xml:space="preserve">
</t>
    </r>
  </si>
  <si>
    <t>stuks/jaar</t>
  </si>
  <si>
    <t>ton/jaar</t>
  </si>
  <si>
    <t>GER-waarde 'aanbieden voor recycling'</t>
  </si>
  <si>
    <t>Referentiesituatie (1998)</t>
  </si>
  <si>
    <t>Tabel GER-waarden BECO</t>
  </si>
  <si>
    <t>GER-waarden</t>
  </si>
  <si>
    <t xml:space="preserve">GER-waarden kunststoffen </t>
  </si>
  <si>
    <t>Materiaal/handeling</t>
  </si>
  <si>
    <t>MJ/tonkm</t>
  </si>
  <si>
    <t>Goederentrein</t>
  </si>
  <si>
    <t>Binnenvaartschip</t>
  </si>
  <si>
    <t xml:space="preserve">PLA </t>
  </si>
  <si>
    <t xml:space="preserve">SBR </t>
  </si>
  <si>
    <t xml:space="preserve">Bioplastic o.b.v. aardappelzetmeel </t>
  </si>
  <si>
    <t>EPDM (gevulcaniseerd)</t>
  </si>
  <si>
    <t>Polyvinylacetaat (PVAc)</t>
  </si>
  <si>
    <t>Polyisocyanaat (PIR)</t>
  </si>
  <si>
    <t>Tabel GER-waarden RVO</t>
  </si>
  <si>
    <t>Verbranding in AVI</t>
  </si>
  <si>
    <t>Bijstook in cementoven</t>
  </si>
  <si>
    <t>Verbranding in cementoven
(GJ/ton)</t>
  </si>
  <si>
    <t>Primaire energie-ontsparing bij switch van verbranding naar recycling</t>
  </si>
  <si>
    <t>Verbranding in AVI
(GJ/ton)</t>
  </si>
  <si>
    <t>Primaire energiebesparing</t>
  </si>
  <si>
    <t>2. Deelresultaten in GJ/jaar</t>
  </si>
  <si>
    <t>GJ/jaar</t>
  </si>
  <si>
    <t>TJ/jaar</t>
  </si>
  <si>
    <r>
      <t xml:space="preserve">Ketenmaatregelen worden uitgevoerd door diverse partijen. Om dubbeltellingen te voorkomen dient de omvang van de totale maatregel daarom verdeeld te worden tussen de betrokken partijen. Bij de maatregel 'inzet van extern recyclaat' zijn meestal drie partijen betrokken (aanbieder afval, recycler, gebruiker recyclaat). In dat geval mag u </t>
    </r>
    <r>
      <rPr>
        <b/>
        <sz val="10"/>
        <color theme="1" tint="0.34998626667073579"/>
        <rFont val="Trebuchet MS"/>
        <family val="2"/>
      </rPr>
      <t>33%</t>
    </r>
    <r>
      <rPr>
        <sz val="10"/>
        <color theme="1" tint="0.34998626667073579"/>
        <rFont val="Trebuchet MS"/>
        <family val="2"/>
      </rPr>
      <t xml:space="preserve"> van de besparing aan uw eigen bedrijf toekennen. </t>
    </r>
  </si>
  <si>
    <t>GER-waarde van uw elektriciteit</t>
  </si>
  <si>
    <t>GER-waarde van uw gas</t>
  </si>
  <si>
    <t>MJ/m3</t>
  </si>
  <si>
    <t>MJ/kWh</t>
  </si>
  <si>
    <r>
      <rPr>
        <b/>
        <sz val="14"/>
        <color theme="4"/>
        <rFont val="Trebuchet MS"/>
        <family val="2"/>
      </rPr>
      <t>Maatregel: Product wordt afgedankt voor recyclingdoeleinde</t>
    </r>
    <r>
      <rPr>
        <b/>
        <sz val="12"/>
        <color theme="4"/>
        <rFont val="Trebuchet MS"/>
        <family val="2"/>
      </rPr>
      <t xml:space="preserve">
</t>
    </r>
    <r>
      <rPr>
        <b/>
        <sz val="10"/>
        <color theme="4"/>
        <rFont val="Trebuchet MS"/>
        <family val="2"/>
      </rPr>
      <t>subcategorie 'Optimalisatie van (gedeeltelijke) productafdanking / productherverwerking'</t>
    </r>
    <r>
      <rPr>
        <b/>
        <sz val="12"/>
        <color theme="4"/>
        <rFont val="Trebuchet MS"/>
        <family val="2"/>
      </rPr>
      <t xml:space="preserve">
</t>
    </r>
  </si>
  <si>
    <t>Type materiaal</t>
  </si>
  <si>
    <t>Kunststof aanbieden ter recycling, incl. winst door vermeden virgin materiaal</t>
  </si>
  <si>
    <t>PET (amorf)</t>
  </si>
  <si>
    <t>PET (bottle grade)</t>
  </si>
  <si>
    <t>Type kunststof</t>
  </si>
  <si>
    <t>Kijk voor ontbrekende GER-waarden in de GER-waardenlijst van RVO:</t>
  </si>
  <si>
    <t>Indien de GER-waarde ook daar niet staat: neem contact op met uw MJA contactpersoon bij RVO</t>
  </si>
  <si>
    <t>http://www.rvo.nl/subsidies-regelingen/monitoring-mja3/mee</t>
  </si>
  <si>
    <t>Vrachtwagen klein (3,5-7,5 t.)</t>
  </si>
  <si>
    <t>Staal, lichtgelegeerd</t>
  </si>
  <si>
    <t>GER-waarden transport</t>
  </si>
  <si>
    <t>Recycling van kunststoffen</t>
  </si>
  <si>
    <t>Recycling Industriële bron (GJ/ton)</t>
  </si>
  <si>
    <t>Recycling Consumenten bron (GJ/ton)</t>
  </si>
  <si>
    <t>FMK, Teflon</t>
  </si>
  <si>
    <t>Uitgangspunten AVI</t>
  </si>
  <si>
    <t>Uitgangspunten cementoven</t>
  </si>
  <si>
    <t>Er wordt primaire energie vermeden doordat er elektriciteit en warmte wordt opgewekt bij verbranding, die nuttig wordt ingezet.</t>
  </si>
  <si>
    <t>Daarmee wordt uitgespaard: conventionele elektriciteit (NL grijze stroommix) en conventioneel gas (NL aardgas)</t>
  </si>
  <si>
    <t>De hoeveelheid die wordt uitgespaard wordt bepaald door de verbrandingswaarde van het kunststof en het gemiddeld thermisch en elektrisch rendement van NL AVIs</t>
  </si>
  <si>
    <t>Er wordt primaire energie vermeden doordat de bijstook verbranding van steenkool vermijdt.</t>
  </si>
  <si>
    <t>De uitgespaarde geleverde warmte door verbranding van steenkool is gelijk aan de verbrandingswaarde van het kunststof.</t>
  </si>
  <si>
    <t>Gehanteerde lower heating value (MJ/kg)</t>
  </si>
  <si>
    <t>Hoe werd het materiaal verbrand?</t>
  </si>
  <si>
    <t>GER-waarde verbranding afval</t>
  </si>
  <si>
    <t>Titel</t>
  </si>
  <si>
    <t>Categorie</t>
  </si>
  <si>
    <t>KE (Ketenefficiency)</t>
  </si>
  <si>
    <t>Subcategorie</t>
  </si>
  <si>
    <t>Toekenning aan eigen inrichting (%)</t>
  </si>
  <si>
    <t>Besparing in Nederland (%)</t>
  </si>
  <si>
    <t>Werkelijke besparing op jaarbasis (TJ)</t>
  </si>
  <si>
    <t>km</t>
  </si>
  <si>
    <t>Werkelijke besparing op jaarbasis (ton gas-/dieselolie)</t>
  </si>
  <si>
    <t>Referentiesituatie</t>
  </si>
  <si>
    <t>Aantal producten geproduceerd</t>
  </si>
  <si>
    <t>Type</t>
  </si>
  <si>
    <t>1. Uw invoer: vul de groene cellen in</t>
  </si>
  <si>
    <r>
      <rPr>
        <b/>
        <sz val="14"/>
        <color theme="4"/>
        <rFont val="Trebuchet MS"/>
        <family val="2"/>
      </rPr>
      <t>Maatregel: Recycler produceert kunststof recyclaat</t>
    </r>
    <r>
      <rPr>
        <b/>
        <sz val="12"/>
        <rFont val="Trebuchet MS"/>
        <family val="2"/>
      </rPr>
      <t xml:space="preserve">
</t>
    </r>
    <r>
      <rPr>
        <b/>
        <sz val="10"/>
        <color theme="4"/>
        <rFont val="Trebuchet MS"/>
        <family val="2"/>
      </rPr>
      <t>subcategorie 'Optimalisatie van (gedeeltelijke) productafdanking / productherverwerking'</t>
    </r>
    <r>
      <rPr>
        <b/>
        <sz val="10"/>
        <rFont val="Trebuchet MS"/>
        <family val="2"/>
      </rPr>
      <t xml:space="preserve">
</t>
    </r>
  </si>
  <si>
    <t>Product wordt afgedankt voor recyclingdoeleinde</t>
  </si>
  <si>
    <t>Optimalisatie van (gedeeltelijke) productafdanking / productherverwerking</t>
  </si>
  <si>
    <t>Invullen in EEP / eMJV</t>
  </si>
  <si>
    <t>Werkelijke besparing eigen inrichting (TJ)</t>
  </si>
  <si>
    <t>Werkelijke besparing EEP-periode eigen inrichting (TJ)</t>
  </si>
  <si>
    <t>Toelichting: toerekening van de ketenmaatregel</t>
  </si>
  <si>
    <t>1a. Uw invoer: vul de groene cellen in</t>
  </si>
  <si>
    <t>1b. Uw invoer indien uw energieverbruik stijgt of daalt als gevolg van de ketenmaatregel: vul de groene cellen in</t>
  </si>
  <si>
    <t>m3/jaar</t>
  </si>
  <si>
    <t>kWh/jaar</t>
  </si>
  <si>
    <t>Gasverbruik (m3)</t>
  </si>
  <si>
    <t>Elektriciteitsverbruik (kWh)</t>
  </si>
  <si>
    <t>Toelichting bij onderdeel 1b: Verandering van uw eigen energieverbruik door deze maatregel</t>
  </si>
  <si>
    <t>De totale energiewinst bij afdanking van het materiaal in de referentiesituatie = (het gewicht van materiaal dat naar afvalverwerking gaat * GER-waarde verwerking afval) + (het gewicht aan materiaal dat naar de recycler gaat * GER-waarde van recycling)</t>
  </si>
  <si>
    <t>Indien uw eigen bedrijfsenergiegebruik stijgt of daalt als gevolg van de ketenmaatregel, door bijvoorbeeld het aanschaffen van nieuwe machines of het aanpassen van instellingen van bestaande machines, dan dient u deze ontsparing of besparing af te trekken of toe te voegen aan de besparingsomvang van de ketenmaatregel. Wij rekenen met de volgende standaard GER-waarden:
Aardgas: 45,2
Elektriciteit: 11,3
U mag de GER-waarde aanpassen, als u de GER-waarde van uw eigen typische elektriciteitsmix of aardgas kent.</t>
  </si>
  <si>
    <t>Hergebruik: levering van recyclaat</t>
  </si>
  <si>
    <t>Levering van biotische afval- en reststoffen</t>
  </si>
  <si>
    <t>Recyclen bij andere verwerker</t>
  </si>
  <si>
    <t>Voor Recycling</t>
  </si>
  <si>
    <t>Tabel is gebaseerd op; Pré Consultants, 2006. Berekening van GER-waarden voor kunststofrecyclage</t>
  </si>
  <si>
    <t>10% uitval van materiaal bij industriële bron en 5% bij consumenten bron. Gebaseerd op; Pré Consultants, 2006. Berekening van GER-waarden voor kunststofrecyclage</t>
  </si>
  <si>
    <t>Kunststof 1 (industriële bron)</t>
  </si>
  <si>
    <t>Hoe werd de kunststof verwerkt?</t>
  </si>
  <si>
    <t>Kunststof 2 (consumenten bron)</t>
  </si>
  <si>
    <t>Productievolume kunststof 2 (consumenten bron)</t>
  </si>
  <si>
    <t>GER-waarde virgin kunststof 1</t>
  </si>
  <si>
    <t>GER-waarde virgin kunststof 2</t>
  </si>
  <si>
    <t>GER-waarde recycling process kunststof 1 (industriële bron)</t>
  </si>
  <si>
    <t>GER-waarde recycling process kunststof 2 (consumenten bron)</t>
  </si>
  <si>
    <t>GER-waarde afvalverwerking kunststof 1 (industriële bron)</t>
  </si>
  <si>
    <t>GER-waarde afvalverwerking kunststof 2 (consumenten bron)</t>
  </si>
  <si>
    <t>De totale energiewinst als gevolg van productie van recycler in referentiesituatie = Productievolume kunststof 1 * (GER-waarde kunststof 1 - GER waarde recyclingproces) + Productievolume kunststof 2* (GER-waarde kunststof 2 - GER waarde recyclingproces) + Productievolume kunststof 1 * GER-waarde afvalverwerking kunststof 1 + Productievolume kunststof 2* GER-waarde afvalverwerking kunststof 2</t>
  </si>
  <si>
    <t>Inzet van extern recyclaat</t>
  </si>
  <si>
    <t>Productievolume kunststof 1 (industriële bron)</t>
  </si>
  <si>
    <t>Productievolume (stuks)</t>
  </si>
  <si>
    <t>Hoeveelheid kunststof recyclaat</t>
  </si>
  <si>
    <t>Voor extern recyclaat</t>
  </si>
  <si>
    <t>GER-waarde virgin kunststof</t>
  </si>
  <si>
    <t>GER-waarde kunststof recyclaat</t>
  </si>
  <si>
    <t>Hoeveelheid virgin kunststof</t>
  </si>
  <si>
    <t>Hergebruik: toepassing van recyclaat</t>
  </si>
  <si>
    <r>
      <rPr>
        <b/>
        <sz val="14"/>
        <color theme="4"/>
        <rFont val="Trebuchet MS"/>
        <family val="2"/>
      </rPr>
      <t>Maatregel: Inzet van extern recyclaat</t>
    </r>
    <r>
      <rPr>
        <b/>
        <sz val="12"/>
        <rFont val="Trebuchet MS"/>
        <family val="2"/>
      </rPr>
      <t xml:space="preserve">
</t>
    </r>
    <r>
      <rPr>
        <b/>
        <sz val="10"/>
        <color theme="4"/>
        <rFont val="Trebuchet MS"/>
        <family val="2"/>
      </rPr>
      <t>subcategorie 'Optimalisatie van (gedeeltelijk) productafdanking / productherverwerking'</t>
    </r>
    <r>
      <rPr>
        <b/>
        <sz val="10"/>
        <rFont val="Trebuchet MS"/>
        <family val="2"/>
      </rPr>
      <t xml:space="preserve">
</t>
    </r>
  </si>
  <si>
    <t>GJ/stuk</t>
  </si>
  <si>
    <t>%</t>
  </si>
  <si>
    <t>Het energiegebruik van het transport in de referentiesituatie = (ritafstand * GER waarde transportmiddel * getransporteerde hoeveelheid per transportmiddel)</t>
  </si>
  <si>
    <t>Inzet van intern recyclaat</t>
  </si>
  <si>
    <r>
      <rPr>
        <b/>
        <sz val="14"/>
        <color theme="4"/>
        <rFont val="Trebuchet MS"/>
        <family val="2"/>
      </rPr>
      <t>Maatregel: Inzet van intern recyclaat</t>
    </r>
    <r>
      <rPr>
        <b/>
        <sz val="12"/>
        <rFont val="Trebuchet MS"/>
        <family val="2"/>
      </rPr>
      <t xml:space="preserve">
</t>
    </r>
    <r>
      <rPr>
        <b/>
        <sz val="10"/>
        <color theme="4"/>
        <rFont val="Trebuchet MS"/>
        <family val="2"/>
      </rPr>
      <t>subcategorie 'Optimalisatie van (gedeeltelijk) productafdanking / productherverwerking'</t>
    </r>
    <r>
      <rPr>
        <b/>
        <sz val="10"/>
        <rFont val="Trebuchet MS"/>
        <family val="2"/>
      </rPr>
      <t xml:space="preserve">
</t>
    </r>
  </si>
  <si>
    <t>Soort kunststof gebruikt voor producten</t>
  </si>
  <si>
    <t>Hoe werd / wordt het afval verwerkt?</t>
  </si>
  <si>
    <t>Ketenmaatregelen worden uitgevoerd door diverse partijen. Om dubbeltellingen te voorkomen dient de omvang van de totale maatregel daarom verdeeld te worden tussen de betrokken partijen. De inzet van intern recyclaat wordt meestal door één conventantsdeelnemer uitgevoerd. In dat geval mag u 100% van de besparing aan uw eigen bedrijf toekennen.</t>
  </si>
  <si>
    <t>Energiebesparing door toepassen van een ander type kunststof</t>
  </si>
  <si>
    <t>Materiaalbesparing en -verbetering</t>
  </si>
  <si>
    <r>
      <rPr>
        <b/>
        <sz val="14"/>
        <color theme="4"/>
        <rFont val="Trebuchet MS"/>
        <family val="2"/>
      </rPr>
      <t>Maatregel: Energiebesparing door toepassen van een ander type kunststof</t>
    </r>
    <r>
      <rPr>
        <b/>
        <sz val="12"/>
        <rFont val="Trebuchet MS"/>
        <family val="2"/>
      </rPr>
      <t xml:space="preserve">
</t>
    </r>
    <r>
      <rPr>
        <b/>
        <sz val="10"/>
        <color theme="4"/>
        <rFont val="Trebuchet MS"/>
        <family val="2"/>
      </rPr>
      <t>subcategorie 'Materiaalbesparing en -verbetering'</t>
    </r>
    <r>
      <rPr>
        <b/>
        <sz val="10"/>
        <rFont val="Trebuchet MS"/>
        <family val="2"/>
      </rPr>
      <t xml:space="preserve">
</t>
    </r>
  </si>
  <si>
    <t xml:space="preserve">Ketenmaatregelen worden uitgevoerd door diverse partijen. Om dubbeltellingen te voorkomen dient de omvang van de totale maatregel daarom verdeeld te worden tussen de betrokken partijen. De inzet van een ander type kunststof wordt meestal door één convenantsdeelnemer uitgevoerd. In dat geval mag u 100% van de besparing aan uw eigen bedrijf toekennen. Heeft de leverancier meegewerkt aan het vinden van een ander type materiaal? Dan mogen beide bedrijven 50% van de besparing aan hun eigen bedrijf toekennen. </t>
  </si>
  <si>
    <t>Grondstofsubstitutie door materialen met lagere GER-waarden</t>
  </si>
  <si>
    <t>Hoeveelheid materiaal gebruik</t>
  </si>
  <si>
    <t>GER-waarde virgin kunststof referentiesituatie</t>
  </si>
  <si>
    <t>Energiebesparing door het toepassen van kunststof in plaats van een ander materiaal (substitutie)</t>
  </si>
  <si>
    <t>Optimalisatie distributie en mobiliteit</t>
  </si>
  <si>
    <t>Overig</t>
  </si>
  <si>
    <r>
      <rPr>
        <b/>
        <sz val="14"/>
        <color theme="4"/>
        <rFont val="Trebuchet MS"/>
        <family val="2"/>
      </rPr>
      <t>Maatregel: Energiebesparing door toepassen van een kunststof in plaats van een ander materiaal (substitutie)</t>
    </r>
    <r>
      <rPr>
        <b/>
        <sz val="12"/>
        <rFont val="Trebuchet MS"/>
        <family val="2"/>
      </rPr>
      <t xml:space="preserve">
</t>
    </r>
    <r>
      <rPr>
        <b/>
        <sz val="10"/>
        <color theme="4"/>
        <rFont val="Trebuchet MS"/>
        <family val="2"/>
      </rPr>
      <t>subcategorie 'Optimalisatie distributie en mobiliteit'</t>
    </r>
    <r>
      <rPr>
        <b/>
        <sz val="10"/>
        <rFont val="Trebuchet MS"/>
        <family val="2"/>
      </rPr>
      <t xml:space="preserve">
</t>
    </r>
  </si>
  <si>
    <t>Soort materiaal gebruikt voor producten</t>
  </si>
  <si>
    <t>Voor substitutie</t>
  </si>
  <si>
    <t>km/jaar</t>
  </si>
  <si>
    <t>GER-waarde materiaal referentiesituatie</t>
  </si>
  <si>
    <t>GER-waarde gebruik van vrachtwagen &gt;16 ton</t>
  </si>
  <si>
    <t>GJ/tonkm</t>
  </si>
  <si>
    <t>GER-waarde voor het energiegebruik in de referentiesituatie = (elektriciteitsgebruik referentiesituatie * GER-waarde elektriciteit) +  (gasverbruik referentiesituatie * GER-waarde gas)</t>
  </si>
  <si>
    <t>De GER-waarde voor het vervoer van het product in de referentiesituatie = (het gewicht van de producten * gemiddelde ritafstand) * GER-waarde van het gebruik van de vrachtwagen</t>
  </si>
  <si>
    <t xml:space="preserve">Ketenmaatregelen worden uitgevoerd door diverse partijen. Om dubbeltellingen te voorkomen dient de omvang van de totale maatregel daarom verdeeld te worden tussen de betrokken partijen. De energiebesparing die substitutie van een materiaal oplevert wordt meestal bij de gebruiker van de producten gerealiseerd. In dat geval mag u 50% van de besparing aan uw eigen bedrijf toekennen. </t>
  </si>
  <si>
    <t>Indien uw energieverbruik niet daalt of stijgt, vul dan 0 in (zie onder voor toelichting).</t>
  </si>
  <si>
    <t>Ander transport middel</t>
  </si>
  <si>
    <r>
      <rPr>
        <b/>
        <sz val="14"/>
        <color theme="4"/>
        <rFont val="Trebuchet MS"/>
        <family val="2"/>
      </rPr>
      <t>Maatregel: Ander transport middel</t>
    </r>
    <r>
      <rPr>
        <b/>
        <sz val="12"/>
        <rFont val="Trebuchet MS"/>
        <family val="2"/>
      </rPr>
      <t xml:space="preserve">
</t>
    </r>
    <r>
      <rPr>
        <b/>
        <sz val="10"/>
        <color theme="4"/>
        <rFont val="Trebuchet MS"/>
        <family val="2"/>
      </rPr>
      <t>subcategorie 'Optimalisatie distributie en mobiliteit'</t>
    </r>
    <r>
      <rPr>
        <b/>
        <sz val="10"/>
        <rFont val="Trebuchet MS"/>
        <family val="2"/>
      </rPr>
      <t xml:space="preserve">
</t>
    </r>
  </si>
  <si>
    <t>Verschuiving van transportmodaliteit</t>
  </si>
  <si>
    <t>Gemiddelde ritafstand vrachtwagen</t>
  </si>
  <si>
    <t>Gemiddelde ritafstand trein</t>
  </si>
  <si>
    <t>Gemiddelde ritafstand binnenvaartschip</t>
  </si>
  <si>
    <t>km/rit</t>
  </si>
  <si>
    <t>Totaal materiaal getransporteerd per vrachtwagen</t>
  </si>
  <si>
    <t>Totaal materiaal getransporteerd per trein</t>
  </si>
  <si>
    <t>Totaal materiaal getransporteerd per binnenvaartschip</t>
  </si>
  <si>
    <t>GER-waarde gebruik van trein</t>
  </si>
  <si>
    <t>GER-waarde gebruik van binnenvaartschip</t>
  </si>
  <si>
    <t>De GER-waarde per product = GER-waarde van het materiaal / productievolume in de referentiesituatie</t>
  </si>
  <si>
    <t>Transportbesparing door verbetering van de beladingsgraad</t>
  </si>
  <si>
    <t>Efficiënte planning en belading</t>
  </si>
  <si>
    <r>
      <rPr>
        <b/>
        <sz val="14"/>
        <color theme="4"/>
        <rFont val="Trebuchet MS"/>
        <family val="2"/>
      </rPr>
      <t>Maatregel: Transportbesparing door verbetering van de beladingsgraad</t>
    </r>
    <r>
      <rPr>
        <b/>
        <sz val="12"/>
        <rFont val="Trebuchet MS"/>
        <family val="2"/>
      </rPr>
      <t xml:space="preserve">
</t>
    </r>
    <r>
      <rPr>
        <b/>
        <sz val="10"/>
        <color theme="4"/>
        <rFont val="Trebuchet MS"/>
        <family val="2"/>
      </rPr>
      <t>subcategorie 'Optimalisatie distributie en mobiliteit'</t>
    </r>
    <r>
      <rPr>
        <b/>
        <sz val="10"/>
        <rFont val="Trebuchet MS"/>
        <family val="2"/>
      </rPr>
      <t xml:space="preserve">
</t>
    </r>
  </si>
  <si>
    <t>Voor transport beladingsgraad</t>
  </si>
  <si>
    <t>Soort vrachtwagen</t>
  </si>
  <si>
    <t>kg/tonkm</t>
  </si>
  <si>
    <t>EcoInvent V3.3</t>
  </si>
  <si>
    <t>kg/jaar</t>
  </si>
  <si>
    <t>Ecoinvent database v.3.1 (zie de GER-waardenlijst van RVO voor de Ecoinvent proceskaart die is gebruikt).</t>
  </si>
  <si>
    <t>Gewicht per product</t>
  </si>
  <si>
    <t>kg/stuk</t>
  </si>
  <si>
    <t>Werkelijke besparing eigen inrichting (ton gas-/dieselolie)</t>
  </si>
  <si>
    <t>Werkelijke besparing EEP-periode eigen inrichting (ton gas-/dieselolie)</t>
  </si>
  <si>
    <t>Bedrijfsadministratie</t>
  </si>
  <si>
    <r>
      <rPr>
        <b/>
        <sz val="14"/>
        <color theme="4"/>
        <rFont val="Trebuchet MS"/>
        <family val="2"/>
      </rPr>
      <t>Maatregel: Materiaalbesparing door ontwerpaanpassingen</t>
    </r>
    <r>
      <rPr>
        <b/>
        <sz val="12"/>
        <rFont val="Trebuchet MS"/>
        <family val="2"/>
      </rPr>
      <t xml:space="preserve">
</t>
    </r>
    <r>
      <rPr>
        <b/>
        <sz val="10"/>
        <color theme="4"/>
        <rFont val="Trebuchet MS"/>
        <family val="2"/>
      </rPr>
      <t>subcategorie 'Materiaalbesparing en -verbetering'</t>
    </r>
    <r>
      <rPr>
        <b/>
        <sz val="10"/>
        <rFont val="Trebuchet MS"/>
        <family val="2"/>
      </rPr>
      <t xml:space="preserve">
</t>
    </r>
  </si>
  <si>
    <t>Materiaalbesparing door ontwerpaanpassingen</t>
  </si>
  <si>
    <t>Materiaalbesparing</t>
  </si>
  <si>
    <t>Soort materiaal ingekocht</t>
  </si>
  <si>
    <t>GER-waarde kunststof referentiesituatie</t>
  </si>
  <si>
    <t xml:space="preserve">Ketenmaatregelen worden uitgevoerd door diverse partijen. Om dubbeltellingen te voorkomen dient de omvang van de totale maatregel daarom verdeeld te worden tussen de betrokken partijen. Materiaalbesparing wordt meestal door één convenantsdeelnemer uitgevoerd. In dat geval mag u 100% van de besparing aan uw eigen bedrijf toekennen. Heeft een andere partij meegewerk? Dan mogen beide bedrijven 50% van de besparing aan hun eigen bedrijf toekennen. </t>
  </si>
  <si>
    <t>Energiebesparing door het toepassen van een biokunststof in plaats van een conventionele kunststof</t>
  </si>
  <si>
    <r>
      <rPr>
        <b/>
        <sz val="14"/>
        <color theme="4"/>
        <rFont val="Trebuchet MS"/>
        <family val="2"/>
      </rPr>
      <t>Maatregel: Energiebesparing door toepassen van een biokunststof in plaats van een conventionale kunststof</t>
    </r>
    <r>
      <rPr>
        <b/>
        <sz val="12"/>
        <rFont val="Trebuchet MS"/>
        <family val="2"/>
      </rPr>
      <t xml:space="preserve">
</t>
    </r>
    <r>
      <rPr>
        <b/>
        <sz val="10"/>
        <color theme="4"/>
        <rFont val="Trebuchet MS"/>
        <family val="2"/>
      </rPr>
      <t>subcategorie 'Materiaalbesparing en -verbetering'</t>
    </r>
    <r>
      <rPr>
        <b/>
        <sz val="10"/>
        <rFont val="Trebuchet MS"/>
        <family val="2"/>
      </rPr>
      <t xml:space="preserve">
</t>
    </r>
  </si>
  <si>
    <t>GER-waarde van elektriciteit</t>
  </si>
  <si>
    <t>GER-waarde van gas</t>
  </si>
  <si>
    <t>Dit is een voorbeeld van een CO2-berekening, en niet van een energieberekening.</t>
  </si>
  <si>
    <t>Deze berekening is niet verplicht onder MJA3.</t>
  </si>
  <si>
    <t>CO2-waarde materiaal referentiesituatie</t>
  </si>
  <si>
    <t>Werkelijke besparing op jaarbasis (ton CO2eq)</t>
  </si>
  <si>
    <t>Werkelijke besparing eigen inrichting (ton CO2eq)</t>
  </si>
  <si>
    <t>Werkelijke besparing EEP-periode eigen inrichting (ton CO2eq)</t>
  </si>
  <si>
    <t>CO2-waarde van elektriciteit</t>
  </si>
  <si>
    <t>CO2-waarde van gas</t>
  </si>
  <si>
    <t>kg CO2eq/kWh</t>
  </si>
  <si>
    <t>kg CO2eq/m3</t>
  </si>
  <si>
    <t>Indien uw eigen bedrijfsenergiegebruik stijgt of daalt als gevolg van de ketenmaatregel, door bijvoorbeeld het aanschaffen van nieuwe machines of het aanpassen van instellingen van bestaande machines, dan dient u deze ontsparing of besparing af te trekken of toe te voegen aan de besparingsomvang van de ketenmaatregel. Wij rekenen met de volgende standaard CO2-waarden:
Aardgas: 0,14
Elektriciteit: 0,53
U mag de GER-waarde aanpassen, als u de GER-waarde van uw eigen typische elektriciteitsmix of aardgas kent.</t>
  </si>
  <si>
    <t>Ecoinvent database v.3.1 zoals in GER-waardenlijst RVO (zie de GER-waardenlijst van RVO voor de Ecoinvent proceskaart die is gebruikt).</t>
  </si>
  <si>
    <t>Type materiaal
(kunststof is in granulaatvorm)</t>
  </si>
  <si>
    <t xml:space="preserve">EcoInvent database v.3.1: Polylactide, granulate {GLO}| market for </t>
  </si>
  <si>
    <t>EcoInvent database v.3.1: Synthetic rubber {RER}| production</t>
  </si>
  <si>
    <t>EcoInvent database v.3.1: Latex {RER} | production</t>
  </si>
  <si>
    <t>EcoInvent database v.3.1: Tetrafluoroethylene {RER}| production</t>
  </si>
  <si>
    <t>kg CO2 eq/jaar</t>
  </si>
  <si>
    <t>ton CO2 eq/jaar</t>
  </si>
  <si>
    <t>EcoInvent database v.3.1: Polyester-complexed starch biopolymer {GLO}| market for</t>
  </si>
  <si>
    <t>Voor biopolymeren</t>
  </si>
  <si>
    <t>Virgin (nieuw) materiaal (GJ/ton)</t>
  </si>
  <si>
    <r>
      <t xml:space="preserve">Deze GER-waarden zijn afkomstig uit de GER-waarden en CO2 lijst april 2016, te downloaden van </t>
    </r>
    <r>
      <rPr>
        <sz val="10"/>
        <color theme="4"/>
        <rFont val="Trebuchet MS"/>
        <family val="2"/>
      </rPr>
      <t>http://www.rvo.nl/subsidies-regelingen/monitoring-mja3/mee</t>
    </r>
    <r>
      <rPr>
        <sz val="10"/>
        <rFont val="Trebuchet MS"/>
        <family val="2"/>
      </rPr>
      <t>, RVO, obv Ecoinvent, opgesteld door CE Delft</t>
    </r>
  </si>
  <si>
    <t>Virgin (nieuw) materiaal (kg CO2eq/kg)</t>
  </si>
  <si>
    <t>kg CO2eq/ton</t>
  </si>
  <si>
    <r>
      <rPr>
        <b/>
        <sz val="10"/>
        <color theme="1" tint="0.249977111117893"/>
        <rFont val="Trebuchet MS"/>
        <family val="2"/>
      </rPr>
      <t>GER-waarde energiegebruik</t>
    </r>
    <r>
      <rPr>
        <sz val="10"/>
        <color theme="1" tint="0.249977111117893"/>
        <rFont val="Trebuchet MS"/>
        <family val="2"/>
      </rPr>
      <t xml:space="preserve"> = (gasverbruik referentiesituatie * GER-waarde gas) + (elektriciteitsgebruik referentiesituatie * GER-waarde elektriciteit)</t>
    </r>
  </si>
  <si>
    <r>
      <t>GER-waarde</t>
    </r>
    <r>
      <rPr>
        <b/>
        <u/>
        <sz val="10"/>
        <color theme="1" tint="0.249977111117893"/>
        <rFont val="Trebuchet MS"/>
        <family val="2"/>
      </rPr>
      <t xml:space="preserve"> referentiesituatie</t>
    </r>
    <r>
      <rPr>
        <b/>
        <sz val="10"/>
        <color theme="1" tint="0.249977111117893"/>
        <rFont val="Trebuchet MS"/>
        <family val="2"/>
      </rPr>
      <t xml:space="preserve"> zonder verandering energieverbruik</t>
    </r>
  </si>
  <si>
    <t>3. Uw resultaat voor de ketenmaatregel</t>
  </si>
  <si>
    <t xml:space="preserve">3. Uw resultaat voor de ketenmaatregel </t>
  </si>
  <si>
    <r>
      <t xml:space="preserve">GER-waarde </t>
    </r>
    <r>
      <rPr>
        <b/>
        <u/>
        <sz val="10"/>
        <color theme="1" tint="0.249977111117893"/>
        <rFont val="Trebuchet MS"/>
        <family val="2"/>
      </rPr>
      <t>referentiesituatie</t>
    </r>
  </si>
  <si>
    <r>
      <rPr>
        <b/>
        <sz val="14"/>
        <color theme="4"/>
        <rFont val="Trebuchet MS"/>
        <family val="2"/>
      </rPr>
      <t>Maatregel: Energiebesparing door toepassen van een biokunststof in plaats van een conventionele kunststof</t>
    </r>
    <r>
      <rPr>
        <b/>
        <sz val="12"/>
        <rFont val="Trebuchet MS"/>
        <family val="2"/>
      </rPr>
      <t xml:space="preserve">
</t>
    </r>
    <r>
      <rPr>
        <b/>
        <sz val="10"/>
        <color theme="4"/>
        <rFont val="Trebuchet MS"/>
        <family val="2"/>
      </rPr>
      <t>subcategorie 'Materiaalbesparing en -verbetering'</t>
    </r>
    <r>
      <rPr>
        <b/>
        <sz val="10"/>
        <rFont val="Trebuchet MS"/>
        <family val="2"/>
      </rPr>
      <t xml:space="preserve">
</t>
    </r>
  </si>
  <si>
    <t xml:space="preserve">Ketenmaatregelen worden uitgevoerd door diverse partijen. Om dubbeltellingen te voorkomen dient de omvang van de totale maatregel daarom verdeeld te worden tussen de betrokken partijen. Bij deze maatregel is bijvoorbeeld ook de distributeur betrokken. In dat geval mag u 50% van de besparing aan uw eigen bedrijf toekennen. </t>
  </si>
  <si>
    <t xml:space="preserve">Ketenmaatregelen worden uitgevoerd door diverse partijen. Om dubbeltellingen te voorkomen dient de omvang van de totale maatregel daarom verdeeld te worden tussen de betrokken partijen. De energiebesparing die optimalisatie van distributie oplevert wordt bijvoorbeeld ook bij de distributeur of de gebruiker van de producten meegerekend. Als er één ander partij betrokken is mag u 50% van de besparing aan uw eigen bedrijf toekennen. </t>
  </si>
  <si>
    <t>Vrachtwagen middelgroot (7,5-16 t.)</t>
  </si>
  <si>
    <t>Vrachtwagen groot (16-32 t.)</t>
  </si>
  <si>
    <t>Vrachtwagen zeer groot(&gt;32 t.)</t>
  </si>
  <si>
    <t xml:space="preserve">Nieuwe situatie </t>
  </si>
  <si>
    <t>GER-waarde energiegebruik = (gasverbruik nieuwe situatie * GER-waarde gas) + (elektriciteitsgebruik nieuwe situatie * GER-waarde elektriciteit)</t>
  </si>
  <si>
    <t>Energiebesparing totaal (= Energiebesparing nieuwe situatie - Energiebesparing referentiesituatie)</t>
  </si>
  <si>
    <t>Nieuwe situatie</t>
  </si>
  <si>
    <t>De totale energiewinst als gevolg van productie van recycler in nieuwe situatie = Productievolume kunststof 1 * (GER-waarde kunststof 1 - GER waarde recyclingproces) + Productievolume kunststof 2* (GER-waarde kunststof 2 - GER waarde recyclingproces) + Productievolume kunststof 1 * GER-waarde afvalverwerking kunststof 1 + Productievolume kunststof 2* GER-waarde afvalverwerking kunststof 2</t>
  </si>
  <si>
    <t>De totale GER-waarde van het materiaal in de nieuwe situatie = (hoeveelheid virgin kunststof * GER-waarde van het virgin materiaal) +  (hoeveelheid recyclaat * (GER-waarde van recyclaat-GER-waarde verwerking afval))</t>
  </si>
  <si>
    <t>GER-waarde voor het energiegebruik in de nieuwe situatie = (elektriciteitsgebruik nieuwe situatie * GER-waarde elektriciteit) +  (gasverbruik nieuwe situatie * GER-waarde gas)</t>
  </si>
  <si>
    <t>De GER-waarde per product = GER-waarde van het materiaal / aantal producten in de nieuwe situatie</t>
  </si>
  <si>
    <t>Energiebesparing per product (= GER-waarde referentiesituatie - GER-waarde nieuwe situatie)</t>
  </si>
  <si>
    <t>De GER-waarde van het materiaal in de nieuwe situatie = (het totale gewicht aan materiaal * de GER-waarde van het virgin materiaal) + (hoeveelheid afval nieuwe situatie * GER-waarde verwerking afval)</t>
  </si>
  <si>
    <t>GER-waarde voor het energiegebruik in de nieuwe situatie = (elektriciteitsgebruik referentiesituatie * GER-waarde elektriciteit) +  (gasverbruik referentiesituatie * GER-waarde gas)</t>
  </si>
  <si>
    <t>GER-waarde kunststof nieuwe situatie</t>
  </si>
  <si>
    <t xml:space="preserve">De GER-waarde van het materiaal in de nieuwe situatie = het totale gewicht aan materiaal * de GER-waarde van het materiaal </t>
  </si>
  <si>
    <t>GER-waarde virgin kunststof nieuwe situatie</t>
  </si>
  <si>
    <t>De GER-waarde van het materiaal in de nieuwe situatie = het totale gewicht aan materiaal per jaar * de GER-waarde van het materiaal per kg</t>
  </si>
  <si>
    <r>
      <t xml:space="preserve">GER-waarde </t>
    </r>
    <r>
      <rPr>
        <b/>
        <u/>
        <sz val="10"/>
        <color theme="1" tint="0.249977111117893"/>
        <rFont val="Trebuchet MS"/>
        <family val="2"/>
      </rPr>
      <t>nieuwe situatie</t>
    </r>
  </si>
  <si>
    <r>
      <t xml:space="preserve">GER-waarde </t>
    </r>
    <r>
      <rPr>
        <b/>
        <u/>
        <sz val="10"/>
        <color theme="1" tint="0.249977111117893"/>
        <rFont val="Trebuchet MS"/>
        <family val="2"/>
      </rPr>
      <t>nieuwe situatie</t>
    </r>
    <r>
      <rPr>
        <b/>
        <sz val="10"/>
        <color theme="1" tint="0.249977111117893"/>
        <rFont val="Trebuchet MS"/>
        <family val="2"/>
      </rPr>
      <t xml:space="preserve"> zonder verandering energieverbuik</t>
    </r>
  </si>
  <si>
    <t>GER-waarde materiaal nieuwe situatie</t>
  </si>
  <si>
    <t>CO2-waarde materiaal nieuwe situatie</t>
  </si>
  <si>
    <t>De GER-waarde voor het vervoer van het product in de nieuwe situatie = (het gewicht van de producten * gemiddelde ritafstand) * GER-waarde van het gebruik van de vrachtwagen</t>
  </si>
  <si>
    <t>Het energiegebruik van het transport in de nieuwe situatie = (ritafstand * GER waarde transportmiddel * getransporteerde hoeveelheid per transportmiddel)</t>
  </si>
  <si>
    <t>De GER-waarde per product = GER-waarde van het materiaal / productievolume in de nieuwe situatie</t>
  </si>
  <si>
    <t>De totale energiewinst als gevolg van productie van recycler in de nieuwe situatie = (het gewicht van materiaal dat naar afvalverwerking gaat * GER-waarde verwerking afval) + (het gewicht aan materiaal dat naar de recycler gaat * GER-waarde van recycling)</t>
  </si>
  <si>
    <t>Werkelijke besparing EEP-periode 2017-2020 (TJ)</t>
  </si>
  <si>
    <t>Werkelijke besparing EEP-periode  2017-2020 (TJ)</t>
  </si>
  <si>
    <t>Aanname dat kunststof uit consumentenbron niet naar cementoven gaat.</t>
  </si>
  <si>
    <t>Werkelijke besparing EEP-periode 2017-2020  (TJ)</t>
  </si>
  <si>
    <r>
      <rPr>
        <b/>
        <sz val="10"/>
        <color theme="4"/>
        <rFont val="Trebuchet MS"/>
        <family val="2"/>
      </rPr>
      <t>Toelichting</t>
    </r>
    <r>
      <rPr>
        <sz val="10"/>
        <color theme="1" tint="0.249977111117893"/>
        <rFont val="Trebuchet MS"/>
        <family val="2"/>
      </rPr>
      <t xml:space="preserve">
Wanneer een materiaal gerecycled wordt levert dit meestal meer energiewinst op dan wanneer het verbrand wordt. Zorgt uw bedrijf er in de nieuwe situatie voor dat de producten (in grotere mate) worden afgedankt voor recycling? Vul dan onderstaande maatregel in.
Referentiesituatie (zonder ketenmaatregel of met eerdere ketenmaatregel) = Geen (of lage) afdanking van producten voor recyclingdoeleinde.
Nieuwe situatie (met ketenmaatregel of intensivering) = Hogere afdanking van producten voor recyclingdoeleinde dan in de referentiesituatie.
</t>
    </r>
  </si>
  <si>
    <r>
      <rPr>
        <b/>
        <sz val="10"/>
        <color theme="4"/>
        <rFont val="Trebuchet MS"/>
        <family val="2"/>
      </rPr>
      <t>Toelichting</t>
    </r>
    <r>
      <rPr>
        <sz val="10"/>
        <rFont val="Trebuchet MS"/>
        <family val="2"/>
      </rPr>
      <t xml:space="preserve">
</t>
    </r>
    <r>
      <rPr>
        <sz val="10"/>
        <color theme="1" tint="0.249977111117893"/>
        <rFont val="Trebuchet MS"/>
        <family val="2"/>
      </rPr>
      <t>Wanneer u als recycler kunststof bewerkt zodat het kan worden hergebruikt (recyclen) dan zorgt uw bedrijf ervoor dat een ander bedrijf geen nieuw kunststof hoeft in te zetten. Een productievolume toename kan voor de recycler worden gezien als een besparing in de keten. Recycled u in de nieuwe situatie meer materiaal dan in de referentiesituatie? Vul dan onderstaande berekening in. In deze voorbeeldberekening staat 'kuntststof 1' voor materiaal uit een industriële bron, en 'kunststof 2' voor materiaal uit een consumenten bron. Gebruikt u één van beiden? Vul dan bij de andere optie '0' in.
Referentiesituatie (zonder ketenmaatregel of met eerdere ketenmaatregel) = Geen of lage productie van kunststofrecyclaat.
Nieuwe situatie (met ketenmaatregel of intensivering) = Hogere productie van kunststofrecyclaat dan in de referentiesituatie.</t>
    </r>
    <r>
      <rPr>
        <sz val="10"/>
        <rFont val="Trebuchet MS"/>
        <family val="2"/>
      </rPr>
      <t xml:space="preserve">
</t>
    </r>
  </si>
  <si>
    <r>
      <rPr>
        <b/>
        <sz val="10"/>
        <color theme="4"/>
        <rFont val="Trebuchet MS"/>
        <family val="2"/>
      </rPr>
      <t>Toelichting</t>
    </r>
    <r>
      <rPr>
        <sz val="10"/>
        <rFont val="Trebuchet MS"/>
        <family val="2"/>
      </rPr>
      <t xml:space="preserve">
</t>
    </r>
    <r>
      <rPr>
        <sz val="10"/>
        <color theme="1" tint="0.249977111117893"/>
        <rFont val="Trebuchet MS"/>
        <family val="2"/>
      </rPr>
      <t xml:space="preserve">De vervanging van virginmateriaal door recyclaat levert indirecte energiewinst op doordat de grondstof nu een lagere GER-waarde heeft ten opzichte van volledig virgin gebruik. Gebruikt uw bedrijf in de nieuwe situatie meer secundair materiaal (recyclaat) in dan in de referentiesituatie? Vul dan deze maatregel in. In onderstaande berekening wordt dit geïllustreerd.
Referentiesituatie (zonder ketenmaatregel of met eerdere ketenmaatregel) = Geen of lage inzet van recyclaat.
Nieuwe situatie (met ketenmaatregel of intensivering) = Hogere inzet van recyclaat dan in de referentiesituatie.
</t>
    </r>
    <r>
      <rPr>
        <sz val="10"/>
        <rFont val="Trebuchet MS"/>
        <family val="2"/>
      </rPr>
      <t xml:space="preserve">
</t>
    </r>
  </si>
  <si>
    <r>
      <rPr>
        <b/>
        <sz val="10"/>
        <color theme="4"/>
        <rFont val="Trebuchet MS"/>
        <family val="2"/>
      </rPr>
      <t>Toelichting</t>
    </r>
    <r>
      <rPr>
        <sz val="10"/>
        <rFont val="Trebuchet MS"/>
        <family val="2"/>
      </rPr>
      <t xml:space="preserve">
</t>
    </r>
    <r>
      <rPr>
        <sz val="10"/>
        <color theme="1" tint="0.249977111117893"/>
        <rFont val="Trebuchet MS"/>
        <family val="2"/>
      </rPr>
      <t xml:space="preserve">Zet u in de nieuwe situatie meer intern recyclaat (zoals uitval en opstartverlies) in in uw productieproces dan in de referentiesituatie? Dan spaart uw bedrijf virgin materiaal, en daarmee energie uit. U kunt onderstaande maatregel invullen. Het transport dat uitgespaard wordt door verlaagde toevoer van virgin materiaal is niet meegenomen, omdat de energiebesparing daarvan relatief gering is.
Referentiesituatie (zonder ketenmaatregel of met eerdere ketenmaatregel) = Geen of lage inzet van intern recyclaat.
Nieuwe situatie (met ketenmaatregel of intensivering) = Hogere inzet van intern recyclaat.
</t>
    </r>
    <r>
      <rPr>
        <sz val="10"/>
        <rFont val="Trebuchet MS"/>
        <family val="2"/>
      </rPr>
      <t xml:space="preserve">
</t>
    </r>
  </si>
  <si>
    <r>
      <rPr>
        <b/>
        <sz val="10"/>
        <color theme="4"/>
        <rFont val="Trebuchet MS"/>
        <family val="2"/>
      </rPr>
      <t>Toelichting</t>
    </r>
    <r>
      <rPr>
        <sz val="10"/>
        <rFont val="Trebuchet MS"/>
        <family val="2"/>
      </rPr>
      <t xml:space="preserve">
</t>
    </r>
    <r>
      <rPr>
        <sz val="10"/>
        <color theme="1" tint="0.249977111117893"/>
        <rFont val="Trebuchet MS"/>
        <family val="2"/>
      </rPr>
      <t xml:space="preserve">Vermindering van het materiaalgebruik is mogelijk door alert te zijn op overdimensioneren en door slimmer te construeren. Verkies bijvoorbeeld ribben in plaats van extra materiaaldikte en gebruik waar mogelijk holle vormen. Of maak sterkte- en stijfheidberekeningen om te bepalen wat de minimale afmetingen van de onderdelen moeten zijn. Heeft u in de nieuwe situatie maatregelen getroffen waarmee materiaal wordt bespaard? En leidt dit tot een reductie van materiaalinkoop ? Vul dan deze maatregel in.
Referentiesituatie (zonder ketenmaatregel of met eerdere ketenmaatregel) = Materiaalgebruik door standaard ontwerp.
Nieuwe situatie (met ketenmaatregel of intensivering) = Materiaalbesparing ten opzicht van de referentiesituatie door ontwerpaanpassingen.
</t>
    </r>
    <r>
      <rPr>
        <sz val="10"/>
        <rFont val="Trebuchet MS"/>
        <family val="2"/>
      </rPr>
      <t xml:space="preserve">
</t>
    </r>
  </si>
  <si>
    <r>
      <rPr>
        <b/>
        <sz val="10"/>
        <color theme="4"/>
        <rFont val="Trebuchet MS"/>
        <family val="2"/>
      </rPr>
      <t>Toelichting</t>
    </r>
    <r>
      <rPr>
        <sz val="10"/>
        <rFont val="Trebuchet MS"/>
        <family val="2"/>
      </rPr>
      <t xml:space="preserve">
</t>
    </r>
    <r>
      <rPr>
        <sz val="10"/>
        <color theme="1" tint="0.249977111117893"/>
        <rFont val="Trebuchet MS"/>
        <family val="2"/>
      </rPr>
      <t xml:space="preserve">Vervangt u in de nieuwe situatie het ene type kunststof door een ander type kunststof met een lagere GER waarde? Vul dan deze maatregel in. Door het toepassen van een ander type kunststof verandert de GER-waarde van het product. Er kan energie bespaard worden in de keten, wanneer het nieuwe type kunststof een lagere GER-waarde heeft dan het oude type. Let op: een ander type kunststof toepassen, betekent dat vaak ook het ontwerp aangepast is en dus dat de hoeveelheid benodigde grondstof ook verandert.
Referentiesituatie (zonder ketenmaatregel of met eerdere ketenmaatregel) = Inzet van kunststof. 
Nieuwe situatie (met ketenmaatregel of intensivering) = Inzet van type kunststof met een lagere GER-waarde dan in de referentiesituatie.
</t>
    </r>
    <r>
      <rPr>
        <sz val="10"/>
        <rFont val="Trebuchet MS"/>
        <family val="2"/>
      </rPr>
      <t xml:space="preserve">
</t>
    </r>
  </si>
  <si>
    <r>
      <rPr>
        <b/>
        <sz val="10"/>
        <color theme="4"/>
        <rFont val="Trebuchet MS"/>
        <family val="2"/>
      </rPr>
      <t>Toelichting</t>
    </r>
    <r>
      <rPr>
        <sz val="10"/>
        <rFont val="Trebuchet MS"/>
        <family val="2"/>
      </rPr>
      <t xml:space="preserve">
</t>
    </r>
    <r>
      <rPr>
        <sz val="10"/>
        <color theme="1" tint="0.249977111117893"/>
        <rFont val="Trebuchet MS"/>
        <family val="2"/>
      </rPr>
      <t xml:space="preserve">Door een product van biokunststof te produceren in plaats van met een conventionele kunststof kan energiewinst optreden. Sommige conventionele kunststoffen hebben een hogere GER-waarde dan biokunststoffen. Vervangt uw bedrijf in de nieuwe situatie een conventionele kunststof door een biokunststof? Vul dan deze maatregel in. </t>
    </r>
    <r>
      <rPr>
        <b/>
        <u/>
        <sz val="10"/>
        <color theme="4"/>
        <rFont val="Trebuchet MS"/>
        <family val="2"/>
      </rPr>
      <t>LET OP!</t>
    </r>
    <r>
      <rPr>
        <sz val="10"/>
        <color theme="1" tint="0.249977111117893"/>
        <rFont val="Trebuchet MS"/>
        <family val="2"/>
      </rPr>
      <t xml:space="preserve"> In dit document is deze voorbeeld-maatregel twee keer opgenomen. In deze sheet 'Biopolymeren GER' wordt de energiebesparing berekend. In de sheet 'Biopolymeren CO2' wordt de CO2 besparing berekend. U kunt één van beide besparingen invullen in het e-MJV. Het voordeel van de GER-waarden berekening is dat deze mee telt voor de energie-doelstelling. 
Referentiesituatie (zonder ketenmaatregel of met eerdere ketenmaatregel) = Inzet van conventioneel kunststof.
Nieuwe situatie (met ketenmaatregel of intensivering) = Inzet van biokunststof</t>
    </r>
  </si>
  <si>
    <r>
      <rPr>
        <b/>
        <sz val="10"/>
        <color theme="4"/>
        <rFont val="Trebuchet MS"/>
        <family val="2"/>
      </rPr>
      <t>Toelichting</t>
    </r>
    <r>
      <rPr>
        <sz val="10"/>
        <rFont val="Trebuchet MS"/>
        <family val="2"/>
      </rPr>
      <t xml:space="preserve">
</t>
    </r>
    <r>
      <rPr>
        <sz val="10"/>
        <color theme="1" tint="0.249977111117893"/>
        <rFont val="Trebuchet MS"/>
        <family val="2"/>
      </rPr>
      <t xml:space="preserve">Door een product van biokunststof te produceren in plaats van met een conventionele kunststof kan energiewinst optreden. Sommige conventionele kunststoffen hebben een hogere GER-waarde dan biokunststoffen. Vervangt uw bedrijf in de nieuwe situatie een conventionele kunststof door een biokunststof? Vul dan deze maatregel in. </t>
    </r>
    <r>
      <rPr>
        <b/>
        <u/>
        <sz val="10"/>
        <color theme="4"/>
        <rFont val="Trebuchet MS"/>
        <family val="2"/>
      </rPr>
      <t xml:space="preserve">LET OP! </t>
    </r>
    <r>
      <rPr>
        <sz val="10"/>
        <color theme="1" tint="0.249977111117893"/>
        <rFont val="Trebuchet MS"/>
        <family val="2"/>
      </rPr>
      <t xml:space="preserve">In dit document is deze voorbeeld-maatregel twee keer opgenomen. In deze sheet 'Biopolymeren GER' wordt de energiebesparing berekend. In de sheet 'Biopolymeren CO2' wordt de CO2 besparing berekend. U kunt één van beide besparingen invullen in het e-MJV. Het voordeel van de GER-waarden berekening is dat deze mee telt voor de energie-doelstelling. 
Referentiesituatie (zonder ketenmaatregel of met eerdere ketenmaatregel) = Inzet van conventioneel kunststof.
Nieuwe situatie (met ketenmaatregel of intensivering) = Inzet van biokunststof
</t>
    </r>
  </si>
  <si>
    <r>
      <rPr>
        <b/>
        <sz val="10"/>
        <color theme="4"/>
        <rFont val="Trebuchet MS"/>
        <family val="2"/>
      </rPr>
      <t>Toelichting</t>
    </r>
    <r>
      <rPr>
        <sz val="10"/>
        <rFont val="Trebuchet MS"/>
        <family val="2"/>
      </rPr>
      <t xml:space="preserve">
</t>
    </r>
    <r>
      <rPr>
        <sz val="10"/>
        <color theme="1" tint="0.249977111117893"/>
        <rFont val="Trebuchet MS"/>
        <family val="2"/>
      </rPr>
      <t xml:space="preserve">Door een product van kunststof te produceren in plaats van een ander materiaal kan energiewinst optreden. Veel kunststoffen hebben een hoge GER-waarde, maar er hoeft vaak minder materiaal gebruikt te worden voor hetzelfde product. Het kan ook zijn dat het product lichter is, waardoor het energiegebruik door transport afneemt. Is uw product door subsitutie in de nieuwe situatie lichter geworden en is daardoor het energiegebruik bij het vervoeren afgenomen? Vul dan deze maatregel in. Aangenomen wordt dat het kunststof product dezelfde levensduur heeft als het product uit de referentiesituatie. In dit voorbeeld gaat het om bodemplaten die in een circustent worden gebruikt. Deze waren vroeger van staal en nu van kunststof.
Referentiesituatie (zonder ketenmaatregel of met eerdere ketenmaatregel) = Inzet van niet-kunststof.
Nieuwe situatie (met ketenmaatregel of intensivering) = Inzet van kunststof ter vervanging van het gebruik van een niet-kunststof in de referentiesituatie.
</t>
    </r>
    <r>
      <rPr>
        <sz val="10"/>
        <rFont val="Trebuchet MS"/>
        <family val="2"/>
      </rPr>
      <t xml:space="preserve">
</t>
    </r>
  </si>
  <si>
    <r>
      <rPr>
        <b/>
        <sz val="10"/>
        <color theme="4"/>
        <rFont val="Trebuchet MS"/>
        <family val="2"/>
      </rPr>
      <t>Toelichting</t>
    </r>
    <r>
      <rPr>
        <sz val="10"/>
        <rFont val="Trebuchet MS"/>
        <family val="2"/>
      </rPr>
      <t xml:space="preserve">
Maakt uw bedrijf in de nieuwe situatie gebruik van een </t>
    </r>
    <r>
      <rPr>
        <sz val="10"/>
        <color theme="1" tint="0.249977111117893"/>
        <rFont val="Trebuchet MS"/>
        <family val="2"/>
      </rPr>
      <t xml:space="preserve">energie efficiënter transportmiddel dan in de referentiesituatie? Vul dan deze maatregel in. In dit voorbeeld wordt het materiaal getransporteerd per trein of met een schip in plaats van een vrachtwagen. 
Referentiesituatie (zonder ketenmaatregel of met eerdere ketenmaatregel) = Inzet van (relatief) energie-inefficient transportmiddel.
Nieuwe situatie (met ketenmaatregel of intensivering) = Inzet van energie-efficiënter transportmiddel dan in de referentiesituatie.
</t>
    </r>
    <r>
      <rPr>
        <sz val="10"/>
        <rFont val="Trebuchet MS"/>
        <family val="2"/>
      </rPr>
      <t xml:space="preserve">
</t>
    </r>
  </si>
  <si>
    <t>Recycler produceert kunststof recyclaat</t>
  </si>
  <si>
    <t>Transportbesparing - kortere afstand</t>
  </si>
  <si>
    <r>
      <rPr>
        <b/>
        <sz val="14"/>
        <color theme="4"/>
        <rFont val="Trebuchet MS"/>
        <family val="2"/>
      </rPr>
      <t xml:space="preserve">Maatregel: Transportbesparing - kortere afstand
</t>
    </r>
    <r>
      <rPr>
        <b/>
        <sz val="10"/>
        <color theme="4"/>
        <rFont val="Trebuchet MS"/>
        <family val="2"/>
      </rPr>
      <t>Categorie 'Optimalisatie distributie en mobiliteit'</t>
    </r>
    <r>
      <rPr>
        <b/>
        <sz val="10"/>
        <rFont val="Trebuchet MS"/>
        <family val="2"/>
      </rPr>
      <t xml:space="preserve">
</t>
    </r>
  </si>
  <si>
    <r>
      <rPr>
        <b/>
        <sz val="10"/>
        <color theme="4"/>
        <rFont val="Trebuchet MS"/>
        <family val="2"/>
      </rPr>
      <t>Toelichting</t>
    </r>
    <r>
      <rPr>
        <sz val="10"/>
        <rFont val="Trebuchet MS"/>
        <family val="2"/>
      </rPr>
      <t xml:space="preserve">
</t>
    </r>
    <r>
      <rPr>
        <sz val="10"/>
        <color theme="1" tint="0.249977111117893"/>
        <rFont val="Trebuchet MS"/>
        <family val="2"/>
      </rPr>
      <t xml:space="preserve">Neemt uw bedrijf in de nieuwe situatie maatregelen waardoor uw producten over kortere afstand hoeven te worden vervoerd? Vul dan deze berekening in. Een voorbeeld is dat de productielocatie dichterbij de afzetlokatie komt te liggen: Het verplaatsen van de productie in Duitsland naar Portugal, van een product dat in in Spanje wordt afgezet.
Referentiesituatie (zonder ketenmaatregel of met eerdere ketenmaatregel) = Lange transportafstand tussen productielokatie en afzetlokatie.
Nieuwe situatie (met ketenmaatregel of intensivering) = Kortere transportafstand tussen productielokatie en afzetlokatie dan in de referentiesituatie.
</t>
    </r>
    <r>
      <rPr>
        <sz val="10"/>
        <rFont val="Trebuchet MS"/>
        <family val="2"/>
      </rPr>
      <t xml:space="preserve">
</t>
    </r>
  </si>
  <si>
    <t xml:space="preserve">Calculation: </t>
  </si>
  <si>
    <t>Compare</t>
  </si>
  <si>
    <t xml:space="preserve">Results: </t>
  </si>
  <si>
    <t>Impact assessment</t>
  </si>
  <si>
    <t xml:space="preserve">Product 1: </t>
  </si>
  <si>
    <t>1 kg Overig kunststof verbrand in kolencentrale, incl. vermeden emissies door opgewekte energie (of project Verpakkingen - kunststoffen (afval, VA) EI3)</t>
  </si>
  <si>
    <t xml:space="preserve">Product 2: </t>
  </si>
  <si>
    <t>1 kg Overig kunststof verbrand in NL AVI, incl. vermeden emissies door opgewekte energie (of project Verpakkingen - kunststoffen (afval, VA) EI3)</t>
  </si>
  <si>
    <t xml:space="preserve">Product 3: </t>
  </si>
  <si>
    <t>1 kg PE verbrand in kolencentrale, incl. vermeden emissies door opgewekte energie (of project Verpakkingen - kunststoffen (afval, VA) EI3)</t>
  </si>
  <si>
    <t xml:space="preserve">Product 4: </t>
  </si>
  <si>
    <t>1 kg PE verbrand in NL AVI, incl. vermeden emissies door opgewekte energie (of project Verpakkingen - kunststoffen (afval, VA) EI3)</t>
  </si>
  <si>
    <t xml:space="preserve">Product 5: </t>
  </si>
  <si>
    <t>1 kg PET verbrand in kolencentrale, incl. vermeden emissies door opgewekte energie (of project Verpakkingen - kunststoffen (afval, VA) EI3)</t>
  </si>
  <si>
    <t xml:space="preserve">Product 6: </t>
  </si>
  <si>
    <t>1 kg PET verbrand in NL AVI, incl. vermeden emissies door opgewekte energie (of project Verpakkingen - kunststoffen (afval, VA) EI3)</t>
  </si>
  <si>
    <t xml:space="preserve">Product 7: </t>
  </si>
  <si>
    <t>1 kg PP verbrand in kolencentrale, incl. vermeden emissies door opgewekte energie (of project Verpakkingen - kunststoffen (afval, VA) EI3)</t>
  </si>
  <si>
    <t xml:space="preserve">Product 8: </t>
  </si>
  <si>
    <t>1 kg PP verbrand in NL AVI, incl. vermeden emissies door opgewekte energie (of project Verpakkingen - kunststoffen (afval, VA) EI3)</t>
  </si>
  <si>
    <t xml:space="preserve">Product 9: </t>
  </si>
  <si>
    <t>1 kg PS verbrand in kolencentrale, incl. vermeden emissies door opgewekte energie (of project Verpakkingen - kunststoffen (afval, VA) EI3)</t>
  </si>
  <si>
    <t xml:space="preserve">Product 10: </t>
  </si>
  <si>
    <t>1 kg PS verbrand in NL AVI, incl. vermeden emissies door opgewekte energie (of project Verpakkingen - kunststoffen (afval, VA) EI3)</t>
  </si>
  <si>
    <t xml:space="preserve">Product 11: </t>
  </si>
  <si>
    <t>1 kg PVC verbrand in kolencentrale, incl. vermeden emissies door opgewekte energie (of project Verpakkingen - kunststoffen (afval, VA) EI3)</t>
  </si>
  <si>
    <t xml:space="preserve">Product 12: </t>
  </si>
  <si>
    <t>1 kg PVC verbrand in NL AVI, incl. vermeden emissies door opgewekte energie (of project Verpakkingen - kunststoffen (afval, VA) EI3)</t>
  </si>
  <si>
    <t xml:space="preserve">Current library: </t>
  </si>
  <si>
    <t>Ecoinvent 3 - allocation, recycled content - unit [U]</t>
  </si>
  <si>
    <t xml:space="preserve">Replacing library: </t>
  </si>
  <si>
    <t>Ecoinvent 3 - allocation, recycled content - system [S]</t>
  </si>
  <si>
    <t xml:space="preserve">Method: </t>
  </si>
  <si>
    <t>Cumulative Energy Demand V1.09 / Cumulative energy demand</t>
  </si>
  <si>
    <t xml:space="preserve">Indicator: </t>
  </si>
  <si>
    <t>Single score</t>
  </si>
  <si>
    <t xml:space="preserve">Skip categories: </t>
  </si>
  <si>
    <t>Never</t>
  </si>
  <si>
    <t xml:space="preserve">Default units: </t>
  </si>
  <si>
    <t>No</t>
  </si>
  <si>
    <t xml:space="preserve">Exclude infrastructure processes: </t>
  </si>
  <si>
    <t xml:space="preserve">Exclude long-term emissions: </t>
  </si>
  <si>
    <t xml:space="preserve">Sorted on item: </t>
  </si>
  <si>
    <t>Impact category</t>
  </si>
  <si>
    <t xml:space="preserve">Sort order: </t>
  </si>
  <si>
    <t>Ascending</t>
  </si>
  <si>
    <t>Unit</t>
  </si>
  <si>
    <t>Overig kunststof verbrand in kolencentrale, incl. vermeden emissies door opgewekte energie</t>
  </si>
  <si>
    <t>Overig kunststof verbrand in NL AVI, incl. vermeden emissies door opgewekte energie</t>
  </si>
  <si>
    <t>PE verbrand in kolencentrale, incl. vermeden emissies door opgewekte energie</t>
  </si>
  <si>
    <t>PE verbrand in NL AVI, incl. vermeden emissies door opgewekte energie</t>
  </si>
  <si>
    <t>PET verbrand in kolencentrale, incl. vermeden emissies door opgewekte energie</t>
  </si>
  <si>
    <t>PET verbrand in NL AVI, incl. vermeden emissies door opgewekte energie</t>
  </si>
  <si>
    <t>PP verbrand in kolencentrale, incl. vermeden emissies door opgewekte energie</t>
  </si>
  <si>
    <t>PP verbrand in NL AVI, incl. vermeden emissies door opgewekte energie</t>
  </si>
  <si>
    <t>PS verbrand in kolencentrale, incl. vermeden emissies door opgewekte energie</t>
  </si>
  <si>
    <t>PS verbrand in NL AVI, incl. vermeden emissies door opgewekte energie</t>
  </si>
  <si>
    <t>PVC verbrand in kolencentrale, incl. vermeden emissies door opgewekte energie</t>
  </si>
  <si>
    <t>PVC verbrand in NL AVI, incl. vermeden emissies door opgewekte energie</t>
  </si>
  <si>
    <t>Total</t>
  </si>
  <si>
    <t>MJ</t>
  </si>
  <si>
    <t>Non renewable, fossil</t>
  </si>
  <si>
    <t>Non-renewable, nuclear</t>
  </si>
  <si>
    <t>Non-renewable, biomass</t>
  </si>
  <si>
    <t>Renewable, biomass</t>
  </si>
  <si>
    <t>Renewable, wind, solar, geothe</t>
  </si>
  <si>
    <t>Renewable, water</t>
  </si>
  <si>
    <t>Yes</t>
  </si>
  <si>
    <t>N/A</t>
  </si>
  <si>
    <t>niet van toepassing</t>
  </si>
  <si>
    <t>Tabblad 'afdanking tbv recycling'</t>
  </si>
  <si>
    <t>Tabblad 'Recycling'</t>
  </si>
  <si>
    <t>Geselecteerd:</t>
  </si>
  <si>
    <t>Dropdownlijst:</t>
  </si>
  <si>
    <t>Tabblad 'Intern recyclaat'</t>
  </si>
  <si>
    <t>Tabblad 'Extern recyclaat'</t>
  </si>
  <si>
    <t>Werkelijke besparing EEP-periode  2017-2020 (ton gas-/dieselolie)</t>
  </si>
  <si>
    <t>Jaar van uitvoering</t>
  </si>
  <si>
    <t>Beladingsgraad referentiesituatie</t>
  </si>
  <si>
    <t>Verandering GER-waarde door beladingsgraad</t>
  </si>
  <si>
    <t>Aantal vrachten</t>
  </si>
  <si>
    <t>ton</t>
  </si>
  <si>
    <t>Afgerond aantal vrachten</t>
  </si>
  <si>
    <t>Dieselgebruik vrachtwagen beladen zoals in referentie- / nieuwe situatie</t>
  </si>
  <si>
    <t>kg diesel/km</t>
  </si>
  <si>
    <t>Vrachtwagen &lt;10 ton</t>
  </si>
  <si>
    <t>Vrachtwagen 10-20 ton</t>
  </si>
  <si>
    <t>Vrachtwagen 10-20 ton met aanhanger</t>
  </si>
  <si>
    <t>Vrachtwagen &gt;20 ton</t>
  </si>
  <si>
    <t>Vrachtwagen &gt;20 ton met aanhanger</t>
  </si>
  <si>
    <t>kg/km</t>
  </si>
  <si>
    <t>Verandering dieselgebruik bij 1% verandering van de beladingsgraad (dit komt bovenop standaard dieselgebruik)</t>
  </si>
  <si>
    <t>Maximale belading</t>
  </si>
  <si>
    <t>kg diesel/jaar</t>
  </si>
  <si>
    <t>kg diesel/ton</t>
  </si>
  <si>
    <t>Dieselgebruik van het transport in de referentiesituatie = (ritafstand * afgerond aantal vrachten * dieselgebruik)</t>
  </si>
  <si>
    <t>Dieselgebruik van het transport in de nieuwe situatie = (ritafstand * afgerond aantal vrachten * dieselgebruik)</t>
  </si>
  <si>
    <t>Dieselgebruik per ton materiaal = Dieselgebruik van het transport / getransporteerd materiaal</t>
  </si>
  <si>
    <t>Dieselbesparing totaal (= dieselbesparing per ton materiaal * getransporteerd)</t>
  </si>
  <si>
    <t>Dieselbesparing per ton (= Dieselgebruik referentiesituatie - Dieselgebruik nieuwe situatie)</t>
  </si>
  <si>
    <t>Dieselgebruik bij lege vrachtwagen</t>
  </si>
  <si>
    <t>STREAM, 2016</t>
  </si>
  <si>
    <t>Berekend op basis van STREAM, 2016</t>
  </si>
  <si>
    <t>Dieselgebruik transport</t>
  </si>
  <si>
    <t>ton / vrachtwagen</t>
  </si>
  <si>
    <t>Ter informatie: Maximale belading van vrachtwagen</t>
  </si>
  <si>
    <t>Ter informatie: Gewicht vervoerd per vrachtwagen</t>
  </si>
  <si>
    <r>
      <t xml:space="preserve">Dieselgebruik </t>
    </r>
    <r>
      <rPr>
        <b/>
        <u/>
        <sz val="10"/>
        <color theme="1" tint="0.249977111117893"/>
        <rFont val="Trebuchet MS"/>
        <family val="2"/>
      </rPr>
      <t>referentiesituatie</t>
    </r>
  </si>
  <si>
    <r>
      <t xml:space="preserve">Dieselgebruik </t>
    </r>
    <r>
      <rPr>
        <b/>
        <u/>
        <sz val="10"/>
        <color theme="1" tint="0.249977111117893"/>
        <rFont val="Trebuchet MS"/>
        <family val="2"/>
      </rPr>
      <t>nieuwe situatie</t>
    </r>
  </si>
  <si>
    <t>Besparing dieselgebruik</t>
  </si>
  <si>
    <t>Het dieselgebruik van het transport in de referentiesituatie = (Transportafstand referentiesituatie * aantal producten geproduceerd * gewicht per product) * dieselgebruik</t>
  </si>
  <si>
    <t>Dieselgebruik per product = Dieselgebruik van het transport / productievolume in de referentiesituatie</t>
  </si>
  <si>
    <t>Het dieselgebruik van het transport in de nieuwe situatie = (Transportafstand nieuwe situatie * aantal producten geproduceerd * gewicht per product) * dieselgebruik</t>
  </si>
  <si>
    <t>Dieselgebruik per product = Dieselgebruik van het transport / productievolume in de nieuwe situatie</t>
  </si>
  <si>
    <t>Dieselbesparing per product (= Dieselgebruik referentiesituatie - dieselgebruik nieuwe situatie)</t>
  </si>
  <si>
    <t>Dieselbesparing totaal (= Dieselbesparing per product * productievolume in de nieuwe situatie)</t>
  </si>
  <si>
    <t>ton diesel/jaar</t>
  </si>
  <si>
    <t>In deze berekening is de besparing uitgedrukt in ton gas-dieselolie. (Dus niet in TJ Primaire energie, zoals de andere berekeningen.)</t>
  </si>
  <si>
    <t>Dieselgebruik vervoer per vrachtwagen</t>
  </si>
  <si>
    <t>GER-waarde gebruik van vrachtwagen &gt;32 ton</t>
  </si>
  <si>
    <t>Dieselgebruik vrachtwagen &gt; 32 ton</t>
  </si>
  <si>
    <t>Afstand van productielokatie naar afzetlokatie (ritafstand)</t>
  </si>
  <si>
    <t>In het algemeen zijn de GER-waarden in de GER-waardenlijst van RVO bepaald aan de hand van de Ecoinvent database. Voor transport worden de getallen in Ecoinvent gegeven per tonkm. Hiermee is het niet mogelijk om te berekenen wat de besparing is bij aanpassing van de beladingsgraad (er wordt immers evenveel gewicht verplaatst over een even lange afstand.) Om de efficiëntie verbetering toch te kunnen berekenen is het van belang om te weten hoeveel brandstof er wordt gebruikt per kilometer. Deze gegevens staan niet in het achtergrondrapport van Ecoinvent. In STREAM 2016 zijn deze gegevens wel gerapporteerd. Voor de berekening 'andere beladingsgraad' gaan we daarom uit van de bron STREAM 2016. Het resultaat wordt dan ook niet in GER waarde primaire energie gegeven, maar in kg diesel.</t>
  </si>
  <si>
    <r>
      <rPr>
        <b/>
        <sz val="10"/>
        <color theme="4"/>
        <rFont val="Trebuchet MS"/>
        <family val="2"/>
      </rPr>
      <t>Toelichting</t>
    </r>
    <r>
      <rPr>
        <sz val="10"/>
        <rFont val="Trebuchet MS"/>
        <family val="2"/>
      </rPr>
      <t xml:space="preserve">
</t>
    </r>
    <r>
      <rPr>
        <sz val="10"/>
        <color theme="1" tint="0.249977111117893"/>
        <rFont val="Trebuchet MS"/>
        <family val="2"/>
      </rPr>
      <t xml:space="preserve">Werkt uw bedrijf in de nieuwe situatie met een betere beladingsgraad van uw transportmiddelen? Vul dan deze berekening in. Het verbeteren van de beladingsgraad kan bijvoorbeeld gerealiseerd zijn door het verhogen van de vullingsgraad van de getransporteerde containers. 
Voor de transportafstand kunt u kiezen of u alleen de ritafstand (alleen heen) invult, of de totale afstand (heen-en-terug). Het is wel van belang om de beladingsgraad af te stemmen op de gekozen transportafstand.
Referentiesituatie (zonder ketenmaatregel of met eerdere ketenmaatregel) = Inzet van transportmiddel met (relatief) lage beladingsgraad.
Nieuwe situatie (met ketenmaatregel of intensivering) = Inzet van transportmiddel met een hogere beladingsgraad dan in de referentiesituatie.
</t>
    </r>
    <r>
      <rPr>
        <sz val="10"/>
        <rFont val="Trebuchet M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</si>
</sst>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0"/>
    <numFmt numFmtId="166" formatCode="0.0"/>
    <numFmt numFmtId="167" formatCode="0.0000"/>
    <numFmt numFmtId="168" formatCode="0.000"/>
    <numFmt numFmtId="169" formatCode="#,##0.000"/>
    <numFmt numFmtId="170" formatCode="0.00000"/>
    <numFmt numFmtId="171" formatCode="0.00000000"/>
  </numFmts>
  <fonts count="55">
    <font>
      <sz val="10"/>
      <name val="Arial"/>
    </font>
    <font>
      <sz val="11"/>
      <color theme="1"/>
      <name val="Trebuchet MS"/>
      <family val="2"/>
    </font>
    <font>
      <sz val="10"/>
      <name val="Arial"/>
      <family val="2"/>
    </font>
    <font>
      <sz val="8"/>
      <name val="Arial"/>
      <family val="2"/>
    </font>
    <font>
      <sz val="11"/>
      <name val="Univers"/>
    </font>
    <font>
      <i/>
      <sz val="11"/>
      <name val="Univers"/>
    </font>
    <font>
      <b/>
      <sz val="12"/>
      <name val="Arial"/>
      <family val="2"/>
    </font>
    <font>
      <b/>
      <sz val="10"/>
      <name val="Arial"/>
      <family val="2"/>
    </font>
    <font>
      <sz val="9"/>
      <name val="Arial"/>
      <family val="2"/>
    </font>
    <font>
      <sz val="10"/>
      <name val="Arial"/>
      <family val="2"/>
    </font>
    <font>
      <sz val="9"/>
      <name val="Univers"/>
    </font>
    <font>
      <u/>
      <sz val="10"/>
      <color indexed="12"/>
      <name val="Arial"/>
      <family val="2"/>
    </font>
    <font>
      <b/>
      <sz val="9"/>
      <name val="Arial"/>
      <family val="2"/>
    </font>
    <font>
      <sz val="8"/>
      <color indexed="8"/>
      <name val="Verdana"/>
      <family val="2"/>
    </font>
    <font>
      <sz val="8"/>
      <name val="Trebuchet MS"/>
      <family val="2"/>
    </font>
    <font>
      <sz val="10"/>
      <name val="Trebuchet MS"/>
      <family val="2"/>
    </font>
    <font>
      <b/>
      <sz val="20"/>
      <name val="Trebuchet MS"/>
      <family val="2"/>
    </font>
    <font>
      <b/>
      <sz val="10"/>
      <name val="Trebuchet MS"/>
      <family val="2"/>
    </font>
    <font>
      <i/>
      <sz val="8"/>
      <name val="Trebuchet MS"/>
      <family val="2"/>
    </font>
    <font>
      <b/>
      <sz val="12"/>
      <name val="Trebuchet MS"/>
      <family val="2"/>
    </font>
    <font>
      <b/>
      <sz val="10"/>
      <color rgb="FFFF0000"/>
      <name val="Trebuchet MS"/>
      <family val="2"/>
    </font>
    <font>
      <sz val="10"/>
      <color rgb="FFFF0000"/>
      <name val="Trebuchet MS"/>
      <family val="2"/>
    </font>
    <font>
      <sz val="11"/>
      <name val="Trebuchet MS"/>
      <family val="2"/>
    </font>
    <font>
      <i/>
      <sz val="11"/>
      <name val="Trebuchet MS"/>
      <family val="2"/>
    </font>
    <font>
      <b/>
      <sz val="12"/>
      <color theme="4"/>
      <name val="Trebuchet MS"/>
      <family val="2"/>
    </font>
    <font>
      <b/>
      <sz val="10"/>
      <color theme="4"/>
      <name val="Trebuchet MS"/>
      <family val="2"/>
    </font>
    <font>
      <sz val="9"/>
      <name val="Trebuchet MS"/>
      <family val="2"/>
    </font>
    <font>
      <b/>
      <sz val="10"/>
      <color theme="1" tint="0.34998626667073579"/>
      <name val="Trebuchet MS"/>
      <family val="2"/>
    </font>
    <font>
      <sz val="10"/>
      <color theme="1" tint="0.34998626667073579"/>
      <name val="Trebuchet MS"/>
      <family val="2"/>
    </font>
    <font>
      <b/>
      <sz val="10"/>
      <color theme="1" tint="0.249977111117893"/>
      <name val="Trebuchet MS"/>
      <family val="2"/>
    </font>
    <font>
      <sz val="10"/>
      <color theme="1" tint="0.249977111117893"/>
      <name val="Trebuchet MS"/>
      <family val="2"/>
    </font>
    <font>
      <sz val="9"/>
      <color theme="1" tint="0.34998626667073579"/>
      <name val="Trebuchet MS"/>
      <family val="2"/>
    </font>
    <font>
      <sz val="8"/>
      <color theme="1" tint="0.34998626667073579"/>
      <name val="Trebuchet MS"/>
      <family val="2"/>
    </font>
    <font>
      <b/>
      <sz val="14"/>
      <color theme="4"/>
      <name val="Trebuchet MS"/>
      <family val="2"/>
    </font>
    <font>
      <sz val="8"/>
      <color theme="0" tint="-4.9989318521683403E-2"/>
      <name val="Trebuchet MS"/>
      <family val="2"/>
    </font>
    <font>
      <b/>
      <sz val="11"/>
      <color indexed="9"/>
      <name val="Trebuchet MS"/>
      <family val="2"/>
    </font>
    <font>
      <sz val="11"/>
      <color indexed="9"/>
      <name val="Trebuchet MS"/>
      <family val="2"/>
    </font>
    <font>
      <sz val="10"/>
      <color theme="0"/>
      <name val="Trebuchet MS"/>
      <family val="2"/>
    </font>
    <font>
      <b/>
      <sz val="11"/>
      <color theme="0"/>
      <name val="Trebuchet MS"/>
      <family val="2"/>
    </font>
    <font>
      <sz val="11"/>
      <color theme="0"/>
      <name val="Trebuchet MS"/>
      <family val="2"/>
    </font>
    <font>
      <sz val="10.5"/>
      <name val="Calibri"/>
      <family val="2"/>
      <scheme val="minor"/>
    </font>
    <font>
      <i/>
      <sz val="10.5"/>
      <name val="Calibri"/>
      <family val="2"/>
      <scheme val="minor"/>
    </font>
    <font>
      <b/>
      <sz val="10.5"/>
      <name val="Calibri"/>
      <family val="2"/>
      <scheme val="minor"/>
    </font>
    <font>
      <sz val="8"/>
      <color theme="1" tint="0.249977111117893"/>
      <name val="Trebuchet MS"/>
      <family val="2"/>
    </font>
    <font>
      <sz val="10.5"/>
      <name val="Trebuchet MS"/>
      <family val="2"/>
    </font>
    <font>
      <b/>
      <sz val="10"/>
      <color theme="2" tint="-0.749992370372631"/>
      <name val="Trebuchet MS"/>
      <family val="2"/>
    </font>
    <font>
      <sz val="10"/>
      <color theme="2" tint="-0.749992370372631"/>
      <name val="Trebuchet MS"/>
      <family val="2"/>
    </font>
    <font>
      <i/>
      <sz val="10"/>
      <name val="Trebuchet MS"/>
      <family val="2"/>
    </font>
    <font>
      <sz val="10"/>
      <color theme="3"/>
      <name val="Trebuchet MS"/>
      <family val="2"/>
    </font>
    <font>
      <sz val="10.5"/>
      <name val="Calibri"/>
      <family val="2"/>
    </font>
    <font>
      <sz val="10"/>
      <color theme="4"/>
      <name val="Trebuchet MS"/>
      <family val="2"/>
    </font>
    <font>
      <b/>
      <u/>
      <sz val="10"/>
      <color theme="1" tint="0.249977111117893"/>
      <name val="Trebuchet MS"/>
      <family val="2"/>
    </font>
    <font>
      <b/>
      <u/>
      <sz val="10"/>
      <color theme="4"/>
      <name val="Trebuchet MS"/>
      <family val="2"/>
    </font>
    <font>
      <sz val="8"/>
      <color theme="0" tint="-0.499984740745262"/>
      <name val="Trebuchet MS"/>
      <family val="2"/>
    </font>
    <font>
      <i/>
      <sz val="10"/>
      <color theme="1" tint="0.249977111117893"/>
      <name val="Trebuchet MS"/>
      <family val="2"/>
    </font>
  </fonts>
  <fills count="17">
    <fill>
      <patternFill patternType="none"/>
    </fill>
    <fill>
      <patternFill patternType="gray125"/>
    </fill>
    <fill>
      <patternFill patternType="solid">
        <fgColor indexed="44"/>
        <bgColor indexed="64"/>
      </patternFill>
    </fill>
    <fill>
      <patternFill patternType="solid">
        <fgColor indexed="50"/>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
      <patternFill patternType="solid">
        <fgColor theme="0"/>
        <bgColor indexed="64"/>
      </patternFill>
    </fill>
    <fill>
      <patternFill patternType="solid">
        <fgColor theme="4"/>
        <bgColor indexed="64"/>
      </patternFill>
    </fill>
    <fill>
      <patternFill patternType="solid">
        <fgColor rgb="FFD0EEFF"/>
        <bgColor indexed="64"/>
      </patternFill>
    </fill>
    <fill>
      <patternFill patternType="solid">
        <fgColor theme="6"/>
        <bgColor indexed="64"/>
      </patternFill>
    </fill>
    <fill>
      <patternFill patternType="solid">
        <fgColor theme="3"/>
        <bgColor indexed="64"/>
      </patternFill>
    </fill>
    <fill>
      <patternFill patternType="solid">
        <fgColor rgb="FFDDDDDD"/>
        <bgColor indexed="64"/>
      </patternFill>
    </fill>
    <fill>
      <patternFill patternType="solid">
        <fgColor rgb="FFEAEAEA"/>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34998626667073579"/>
        <bgColor indexed="64"/>
      </patternFill>
    </fill>
  </fills>
  <borders count="17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tted">
        <color theme="1" tint="0.499984740745262"/>
      </top>
      <bottom style="dotted">
        <color theme="1" tint="0.499984740745262"/>
      </bottom>
      <diagonal/>
    </border>
    <border>
      <left/>
      <right/>
      <top/>
      <bottom style="dotted">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theme="1" tint="0.34998626667073579"/>
      </top>
      <bottom/>
      <diagonal/>
    </border>
    <border>
      <left/>
      <right/>
      <top style="medium">
        <color theme="1" tint="0.34998626667073579"/>
      </top>
      <bottom style="thin">
        <color indexed="64"/>
      </bottom>
      <diagonal/>
    </border>
    <border>
      <left style="medium">
        <color theme="1" tint="0.34998626667073579"/>
      </left>
      <right/>
      <top style="dotted">
        <color theme="1" tint="0.499984740745262"/>
      </top>
      <bottom style="dotted">
        <color theme="1" tint="0.499984740745262"/>
      </bottom>
      <diagonal/>
    </border>
    <border>
      <left/>
      <right style="medium">
        <color theme="1" tint="0.34998626667073579"/>
      </right>
      <top style="dotted">
        <color theme="1" tint="0.499984740745262"/>
      </top>
      <bottom style="dotted">
        <color theme="1" tint="0.499984740745262"/>
      </bottom>
      <diagonal/>
    </border>
    <border>
      <left style="medium">
        <color theme="1" tint="0.34998626667073579"/>
      </left>
      <right/>
      <top style="dotted">
        <color theme="1" tint="0.499984740745262"/>
      </top>
      <bottom style="medium">
        <color theme="1" tint="0.34998626667073579"/>
      </bottom>
      <diagonal/>
    </border>
    <border>
      <left/>
      <right/>
      <top style="dotted">
        <color theme="1" tint="0.499984740745262"/>
      </top>
      <bottom style="medium">
        <color theme="1" tint="0.34998626667073579"/>
      </bottom>
      <diagonal/>
    </border>
    <border>
      <left/>
      <right style="medium">
        <color theme="1" tint="0.34998626667073579"/>
      </right>
      <top style="dotted">
        <color theme="1" tint="0.499984740745262"/>
      </top>
      <bottom style="medium">
        <color theme="1" tint="0.34998626667073579"/>
      </bottom>
      <diagonal/>
    </border>
    <border>
      <left style="medium">
        <color theme="1" tint="0.34998626667073579"/>
      </left>
      <right/>
      <top/>
      <bottom style="dotted">
        <color theme="1" tint="0.499984740745262"/>
      </bottom>
      <diagonal/>
    </border>
    <border>
      <left style="thin">
        <color theme="1" tint="0.34998626667073579"/>
      </left>
      <right style="thin">
        <color theme="1" tint="0.34998626667073579"/>
      </right>
      <top/>
      <bottom style="thin">
        <color theme="1" tint="0.34998626667073579"/>
      </bottom>
      <diagonal/>
    </border>
    <border>
      <left style="medium">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indexed="64"/>
      </right>
      <top style="thin">
        <color indexed="64"/>
      </top>
      <bottom/>
      <diagonal/>
    </border>
    <border>
      <left style="medium">
        <color indexed="64"/>
      </left>
      <right style="medium">
        <color indexed="64"/>
      </right>
      <top/>
      <bottom/>
      <diagonal/>
    </border>
    <border>
      <left/>
      <right/>
      <top/>
      <bottom style="hair">
        <color theme="1" tint="0.34998626667073579"/>
      </bottom>
      <diagonal/>
    </border>
    <border>
      <left style="medium">
        <color theme="1" tint="0.34998626667073579"/>
      </left>
      <right/>
      <top/>
      <bottom style="medium">
        <color theme="1" tint="0.34998626667073579"/>
      </bottom>
      <diagonal/>
    </border>
    <border>
      <left style="medium">
        <color theme="1" tint="0.34998626667073579"/>
      </left>
      <right/>
      <top/>
      <bottom/>
      <diagonal/>
    </border>
    <border>
      <left/>
      <right style="medium">
        <color theme="1" tint="0.34998626667073579"/>
      </right>
      <top/>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34998626667073579"/>
      </left>
      <right/>
      <top style="medium">
        <color theme="1" tint="0.34998626667073579"/>
      </top>
      <bottom style="thin">
        <color indexed="64"/>
      </bottom>
      <diagonal/>
    </border>
    <border>
      <left/>
      <right style="medium">
        <color theme="1" tint="0.34998626667073579"/>
      </right>
      <top style="medium">
        <color theme="1" tint="0.34998626667073579"/>
      </top>
      <bottom style="thin">
        <color indexed="64"/>
      </bottom>
      <diagonal/>
    </border>
    <border>
      <left style="medium">
        <color theme="1" tint="0.34998626667073579"/>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style="medium">
        <color theme="1" tint="0.34998626667073579"/>
      </right>
      <top style="dotted">
        <color indexed="64"/>
      </top>
      <bottom style="dotted">
        <color theme="1" tint="0.499984740745262"/>
      </bottom>
      <diagonal/>
    </border>
    <border>
      <left style="medium">
        <color theme="1" tint="0.34998626667073579"/>
      </left>
      <right style="thin">
        <color indexed="64"/>
      </right>
      <top style="dotted">
        <color indexed="64"/>
      </top>
      <bottom style="thin">
        <color indexed="64"/>
      </bottom>
      <diagonal/>
    </border>
    <border>
      <left/>
      <right style="medium">
        <color theme="1" tint="0.34998626667073579"/>
      </right>
      <top style="dotted">
        <color theme="1" tint="0.499984740745262"/>
      </top>
      <bottom style="thin">
        <color indexed="64"/>
      </bottom>
      <diagonal/>
    </border>
    <border>
      <left style="medium">
        <color theme="1" tint="0.34998626667073579"/>
      </left>
      <right/>
      <top style="dotted">
        <color theme="1" tint="0.499984740745262"/>
      </top>
      <bottom/>
      <diagonal/>
    </border>
    <border>
      <left style="medium">
        <color theme="1" tint="0.34998626667073579"/>
      </left>
      <right style="thin">
        <color theme="1" tint="0.34998626667073579"/>
      </right>
      <top style="dotted">
        <color indexed="64"/>
      </top>
      <bottom style="dotted">
        <color theme="1" tint="0.499984740745262"/>
      </bottom>
      <diagonal/>
    </border>
    <border>
      <left style="thin">
        <color theme="1" tint="0.34998626667073579"/>
      </left>
      <right/>
      <top style="dotted">
        <color indexed="64"/>
      </top>
      <bottom style="dotted">
        <color theme="1" tint="0.499984740745262"/>
      </bottom>
      <diagonal/>
    </border>
    <border>
      <left/>
      <right style="thin">
        <color indexed="64"/>
      </right>
      <top style="dotted">
        <color theme="1" tint="0.499984740745262"/>
      </top>
      <bottom/>
      <diagonal/>
    </border>
    <border>
      <left/>
      <right style="thin">
        <color indexed="64"/>
      </right>
      <top style="thin">
        <color theme="1" tint="0.34998626667073579"/>
      </top>
      <bottom style="dotted">
        <color indexed="64"/>
      </bottom>
      <diagonal/>
    </border>
    <border>
      <left style="medium">
        <color indexed="64"/>
      </left>
      <right style="thin">
        <color theme="1" tint="0.34998626667073579"/>
      </right>
      <top style="dotted">
        <color theme="1" tint="0.499984740745262"/>
      </top>
      <bottom style="dotted">
        <color theme="1" tint="0.499984740745262"/>
      </bottom>
      <diagonal/>
    </border>
    <border>
      <left style="thin">
        <color theme="1" tint="0.34998626667073579"/>
      </left>
      <right/>
      <top style="thin">
        <color theme="1" tint="0.34998626667073579"/>
      </top>
      <bottom style="dotted">
        <color indexed="64"/>
      </bottom>
      <diagonal/>
    </border>
    <border>
      <left/>
      <right style="thin">
        <color theme="1" tint="0.34998626667073579"/>
      </right>
      <top/>
      <bottom style="dotted">
        <color theme="1" tint="0.499984740745262"/>
      </bottom>
      <diagonal/>
    </border>
    <border>
      <left style="thin">
        <color theme="1" tint="0.34998626667073579"/>
      </left>
      <right/>
      <top style="thin">
        <color theme="1" tint="0.34998626667073579"/>
      </top>
      <bottom/>
      <diagonal/>
    </border>
    <border>
      <left style="thin">
        <color indexed="64"/>
      </left>
      <right/>
      <top style="dotted">
        <color theme="1" tint="0.499984740745262"/>
      </top>
      <bottom style="dotted">
        <color theme="1" tint="0.499984740745262"/>
      </bottom>
      <diagonal/>
    </border>
    <border>
      <left style="medium">
        <color theme="1" tint="0.34998626667073579"/>
      </left>
      <right/>
      <top style="dotted">
        <color indexed="64"/>
      </top>
      <bottom style="medium">
        <color theme="1" tint="0.34998626667073579"/>
      </bottom>
      <diagonal/>
    </border>
    <border>
      <left/>
      <right/>
      <top/>
      <bottom style="dotted">
        <color indexed="64"/>
      </bottom>
      <diagonal/>
    </border>
    <border>
      <left style="medium">
        <color theme="1" tint="0.34998626667073579"/>
      </left>
      <right/>
      <top style="dotted">
        <color indexed="64"/>
      </top>
      <bottom style="dotted">
        <color indexed="64"/>
      </bottom>
      <diagonal/>
    </border>
    <border>
      <left style="medium">
        <color theme="1" tint="0.34998626667073579"/>
      </left>
      <right style="thin">
        <color theme="1" tint="0.34998626667073579"/>
      </right>
      <top style="dotted">
        <color indexed="64"/>
      </top>
      <bottom style="dotted">
        <color indexed="64"/>
      </bottom>
      <diagonal/>
    </border>
    <border>
      <left style="thin">
        <color theme="1" tint="0.34998626667073579"/>
      </left>
      <right/>
      <top style="dotted">
        <color indexed="64"/>
      </top>
      <bottom style="dotted">
        <color indexed="64"/>
      </bottom>
      <diagonal/>
    </border>
    <border>
      <left/>
      <right style="medium">
        <color theme="1" tint="0.34998626667073579"/>
      </right>
      <top/>
      <bottom style="dotted">
        <color indexed="64"/>
      </bottom>
      <diagonal/>
    </border>
    <border>
      <left style="medium">
        <color theme="1" tint="0.34998626667073579"/>
      </left>
      <right/>
      <top style="dotted">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bottom/>
      <diagonal/>
    </border>
    <border>
      <left style="medium">
        <color indexed="64"/>
      </left>
      <right/>
      <top/>
      <bottom style="hair">
        <color theme="1" tint="0.34998626667073579"/>
      </bottom>
      <diagonal/>
    </border>
    <border>
      <left/>
      <right style="medium">
        <color indexed="64"/>
      </right>
      <top/>
      <bottom style="hair">
        <color theme="1" tint="0.34998626667073579"/>
      </bottom>
      <diagonal/>
    </border>
    <border>
      <left style="medium">
        <color indexed="64"/>
      </left>
      <right/>
      <top style="hair">
        <color theme="1" tint="0.34998626667073579"/>
      </top>
      <bottom style="medium">
        <color indexed="64"/>
      </bottom>
      <diagonal/>
    </border>
    <border>
      <left/>
      <right/>
      <top style="hair">
        <color theme="1" tint="0.34998626667073579"/>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dotted">
        <color theme="1" tint="0.499984740745262"/>
      </bottom>
      <diagonal/>
    </border>
    <border>
      <left/>
      <right/>
      <top style="medium">
        <color indexed="64"/>
      </top>
      <bottom style="dotted">
        <color theme="1" tint="0.499984740745262"/>
      </bottom>
      <diagonal/>
    </border>
    <border>
      <left/>
      <right style="medium">
        <color indexed="64"/>
      </right>
      <top style="medium">
        <color indexed="64"/>
      </top>
      <bottom style="dotted">
        <color theme="1" tint="0.499984740745262"/>
      </bottom>
      <diagonal/>
    </border>
    <border>
      <left style="medium">
        <color indexed="64"/>
      </left>
      <right/>
      <top style="dotted">
        <color theme="1" tint="0.499984740745262"/>
      </top>
      <bottom style="medium">
        <color indexed="64"/>
      </bottom>
      <diagonal/>
    </border>
    <border>
      <left/>
      <right/>
      <top style="dotted">
        <color theme="1" tint="0.499984740745262"/>
      </top>
      <bottom style="medium">
        <color indexed="64"/>
      </bottom>
      <diagonal/>
    </border>
    <border>
      <left/>
      <right style="medium">
        <color indexed="64"/>
      </right>
      <top style="dotted">
        <color theme="1" tint="0.499984740745262"/>
      </top>
      <bottom style="medium">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theme="1" tint="0.34998626667073579"/>
      </top>
      <bottom style="dotted">
        <color theme="1" tint="0.499984740745262"/>
      </bottom>
      <diagonal/>
    </border>
    <border>
      <left/>
      <right/>
      <top style="thin">
        <color theme="1" tint="0.34998626667073579"/>
      </top>
      <bottom style="medium">
        <color theme="1" tint="0.34998626667073579"/>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theme="1" tint="0.34998626667073579"/>
      </left>
      <right/>
      <top/>
      <bottom style="dotted">
        <color indexed="64"/>
      </bottom>
      <diagonal/>
    </border>
    <border>
      <left/>
      <right/>
      <top style="dotted">
        <color theme="0" tint="-0.499984740745262"/>
      </top>
      <bottom style="dotted">
        <color theme="1" tint="0.499984740745262"/>
      </bottom>
      <diagonal/>
    </border>
    <border>
      <left style="medium">
        <color theme="1" tint="0.34998626667073579"/>
      </left>
      <right/>
      <top style="dotted">
        <color theme="1" tint="0.499984740745262"/>
      </top>
      <bottom style="dotted">
        <color theme="0" tint="-0.499984740745262"/>
      </bottom>
      <diagonal/>
    </border>
    <border>
      <left/>
      <right/>
      <top style="dotted">
        <color theme="0" tint="-0.499984740745262"/>
      </top>
      <bottom style="dotted">
        <color theme="0" tint="-0.499984740745262"/>
      </bottom>
      <diagonal/>
    </border>
    <border>
      <left/>
      <right/>
      <top style="dotted">
        <color theme="1" tint="0.499984740745262"/>
      </top>
      <bottom/>
      <diagonal/>
    </border>
    <border>
      <left style="thin">
        <color theme="1" tint="0.34998626667073579"/>
      </left>
      <right/>
      <top style="thin">
        <color theme="1" tint="0.34998626667073579"/>
      </top>
      <bottom style="dotted">
        <color theme="0" tint="-0.499984740745262"/>
      </bottom>
      <diagonal/>
    </border>
    <border>
      <left/>
      <right style="medium">
        <color theme="1" tint="0.34998626667073579"/>
      </right>
      <top style="dotted">
        <color theme="0" tint="-0.499984740745262"/>
      </top>
      <bottom style="dotted">
        <color theme="1" tint="0.499984740745262"/>
      </bottom>
      <diagonal/>
    </border>
    <border>
      <left/>
      <right style="medium">
        <color theme="1" tint="0.34998626667073579"/>
      </right>
      <top style="dotted">
        <color theme="0" tint="-0.499984740745262"/>
      </top>
      <bottom style="dotted">
        <color theme="0" tint="-0.499984740745262"/>
      </bottom>
      <diagonal/>
    </border>
    <border>
      <left/>
      <right/>
      <top style="dotted">
        <color theme="1" tint="0.499984740745262"/>
      </top>
      <bottom style="dotted">
        <color theme="0" tint="-0.499984740745262"/>
      </bottom>
      <diagonal/>
    </border>
    <border>
      <left style="thin">
        <color theme="1" tint="0.34998626667073579"/>
      </left>
      <right/>
      <top style="dotted">
        <color theme="0" tint="-0.499984740745262"/>
      </top>
      <bottom style="dotted">
        <color theme="1" tint="0.499984740745262"/>
      </bottom>
      <diagonal/>
    </border>
    <border>
      <left/>
      <right/>
      <top style="dotted">
        <color theme="0" tint="-0.499984740745262"/>
      </top>
      <bottom style="thin">
        <color indexed="64"/>
      </bottom>
      <diagonal/>
    </border>
    <border>
      <left style="dotted">
        <color theme="0" tint="-0.499984740745262"/>
      </left>
      <right/>
      <top style="dotted">
        <color theme="0" tint="-0.499984740745262"/>
      </top>
      <bottom style="thin">
        <color indexed="64"/>
      </bottom>
      <diagonal/>
    </border>
    <border>
      <left style="dotted">
        <color theme="0" tint="-0.499984740745262"/>
      </left>
      <right/>
      <top style="thin">
        <color indexed="64"/>
      </top>
      <bottom style="dotted">
        <color theme="0" tint="-0.499984740745262"/>
      </bottom>
      <diagonal/>
    </border>
    <border>
      <left/>
      <right/>
      <top style="thin">
        <color indexed="64"/>
      </top>
      <bottom style="dotted">
        <color theme="0" tint="-0.499984740745262"/>
      </bottom>
      <diagonal/>
    </border>
    <border>
      <left style="medium">
        <color theme="1" tint="0.34998626667073579"/>
      </left>
      <right style="dotted">
        <color theme="0" tint="-0.499984740745262"/>
      </right>
      <top style="dotted">
        <color theme="0" tint="-0.499984740745262"/>
      </top>
      <bottom style="thin">
        <color indexed="64"/>
      </bottom>
      <diagonal/>
    </border>
    <border>
      <left style="medium">
        <color theme="1" tint="0.34998626667073579"/>
      </left>
      <right style="dotted">
        <color theme="0" tint="-0.499984740745262"/>
      </right>
      <top style="dotted">
        <color theme="0" tint="-0.499984740745262"/>
      </top>
      <bottom style="dotted">
        <color theme="0" tint="-0.499984740745262"/>
      </bottom>
      <diagonal/>
    </border>
    <border>
      <left style="medium">
        <color theme="1" tint="0.34998626667073579"/>
      </left>
      <right style="thin">
        <color indexed="64"/>
      </right>
      <top style="dotted">
        <color theme="0" tint="-0.499984740745262"/>
      </top>
      <bottom style="dotted">
        <color theme="0" tint="-0.499984740745262"/>
      </bottom>
      <diagonal/>
    </border>
    <border>
      <left style="thin">
        <color indexed="64"/>
      </left>
      <right/>
      <top style="thin">
        <color indexed="64"/>
      </top>
      <bottom style="dotted">
        <color theme="0" tint="-0.499984740745262"/>
      </bottom>
      <diagonal/>
    </border>
    <border>
      <left/>
      <right style="medium">
        <color theme="1" tint="0.34998626667073579"/>
      </right>
      <top style="dotted">
        <color indexed="64"/>
      </top>
      <bottom/>
      <diagonal/>
    </border>
    <border>
      <left/>
      <right/>
      <top style="dotted">
        <color theme="0" tint="-0.499984740745262"/>
      </top>
      <bottom/>
      <diagonal/>
    </border>
    <border>
      <left/>
      <right style="medium">
        <color theme="1" tint="0.34998626667073579"/>
      </right>
      <top style="thin">
        <color indexed="64"/>
      </top>
      <bottom style="dotted">
        <color theme="0" tint="-0.499984740745262"/>
      </bottom>
      <diagonal/>
    </border>
    <border>
      <left/>
      <right style="medium">
        <color theme="1" tint="0.34998626667073579"/>
      </right>
      <top/>
      <bottom style="dotted">
        <color theme="1" tint="0.499984740745262"/>
      </bottom>
      <diagonal/>
    </border>
    <border>
      <left style="thin">
        <color indexed="64"/>
      </left>
      <right/>
      <top style="dotted">
        <color theme="1" tint="0.499984740745262"/>
      </top>
      <bottom style="dotted">
        <color theme="0" tint="-0.499984740745262"/>
      </bottom>
      <diagonal/>
    </border>
    <border>
      <left style="thin">
        <color theme="1" tint="0.34998626667073579"/>
      </left>
      <right style="thin">
        <color theme="1" tint="0.34998626667073579"/>
      </right>
      <top style="thin">
        <color theme="1" tint="0.34998626667073579"/>
      </top>
      <bottom/>
      <diagonal/>
    </border>
    <border>
      <left style="medium">
        <color theme="1" tint="0.34998626667073579"/>
      </left>
      <right style="thin">
        <color theme="1" tint="0.34998626667073579"/>
      </right>
      <top style="dotted">
        <color theme="0" tint="-0.499984740745262"/>
      </top>
      <bottom style="dotted">
        <color theme="1" tint="0.499984740745262"/>
      </bottom>
      <diagonal/>
    </border>
    <border>
      <left/>
      <right/>
      <top style="thin">
        <color theme="0" tint="-0.499984740745262"/>
      </top>
      <bottom style="dotted">
        <color theme="1" tint="0.499984740745262"/>
      </bottom>
      <diagonal/>
    </border>
    <border>
      <left/>
      <right style="medium">
        <color theme="1" tint="0.34998626667073579"/>
      </right>
      <top style="dotted">
        <color theme="0" tint="-0.499984740745262"/>
      </top>
      <bottom/>
      <diagonal/>
    </border>
    <border>
      <left style="thin">
        <color theme="1" tint="0.34998626667073579"/>
      </left>
      <right/>
      <top/>
      <bottom/>
      <diagonal/>
    </border>
    <border>
      <left style="medium">
        <color indexed="64"/>
      </left>
      <right/>
      <top style="thin">
        <color indexed="64"/>
      </top>
      <bottom/>
      <diagonal/>
    </border>
    <border>
      <left style="medium">
        <color indexed="64"/>
      </left>
      <right/>
      <top style="medium">
        <color indexed="64"/>
      </top>
      <bottom style="thin">
        <color theme="1" tint="0.34998626667073579"/>
      </bottom>
      <diagonal/>
    </border>
    <border>
      <left/>
      <right/>
      <top style="medium">
        <color indexed="64"/>
      </top>
      <bottom style="thin">
        <color theme="1" tint="0.34998626667073579"/>
      </bottom>
      <diagonal/>
    </border>
    <border>
      <left/>
      <right style="medium">
        <color indexed="64"/>
      </right>
      <top style="medium">
        <color indexed="64"/>
      </top>
      <bottom style="thin">
        <color theme="1" tint="0.34998626667073579"/>
      </bottom>
      <diagonal/>
    </border>
    <border>
      <left style="medium">
        <color indexed="64"/>
      </left>
      <right style="thin">
        <color theme="1" tint="0.34998626667073579"/>
      </right>
      <top style="dotted">
        <color indexed="64"/>
      </top>
      <bottom style="dotted">
        <color theme="1" tint="0.499984740745262"/>
      </bottom>
      <diagonal/>
    </border>
    <border>
      <left/>
      <right style="medium">
        <color indexed="64"/>
      </right>
      <top style="thin">
        <color theme="1" tint="0.34998626667073579"/>
      </top>
      <bottom style="dotted">
        <color indexed="64"/>
      </bottom>
      <diagonal/>
    </border>
    <border>
      <left style="medium">
        <color indexed="64"/>
      </left>
      <right style="thin">
        <color theme="1" tint="0.34998626667073579"/>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top/>
      <bottom style="medium">
        <color indexed="64"/>
      </bottom>
      <diagonal/>
    </border>
    <border>
      <left/>
      <right style="dotted">
        <color indexed="64"/>
      </right>
      <top/>
      <bottom/>
      <diagonal/>
    </border>
    <border>
      <left/>
      <right style="dotted">
        <color indexed="64"/>
      </right>
      <top/>
      <bottom style="dotted">
        <color indexed="64"/>
      </bottom>
      <diagonal/>
    </border>
    <border>
      <left style="thin">
        <color indexed="64"/>
      </left>
      <right style="thin">
        <color indexed="64"/>
      </right>
      <top style="thin">
        <color theme="1" tint="0.34998626667073579"/>
      </top>
      <bottom style="thin">
        <color theme="1" tint="0.34998626667073579"/>
      </bottom>
      <diagonal/>
    </border>
  </borders>
  <cellStyleXfs count="8">
    <xf numFmtId="0" fontId="0" fillId="0" borderId="0"/>
    <xf numFmtId="0" fontId="11" fillId="0" borderId="0" applyNumberFormat="0" applyFill="0" applyBorder="0" applyAlignment="0" applyProtection="0">
      <alignment vertical="top"/>
      <protection locked="0"/>
    </xf>
    <xf numFmtId="0" fontId="9"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572">
    <xf numFmtId="0" fontId="0" fillId="0" borderId="0" xfId="0"/>
    <xf numFmtId="0" fontId="0" fillId="2" borderId="0" xfId="0" applyFill="1"/>
    <xf numFmtId="0" fontId="4" fillId="2" borderId="0" xfId="0" applyFont="1" applyFill="1"/>
    <xf numFmtId="0" fontId="0" fillId="2" borderId="0" xfId="0" applyFill="1" applyBorder="1"/>
    <xf numFmtId="0" fontId="0" fillId="4" borderId="3" xfId="0" applyFill="1" applyBorder="1"/>
    <xf numFmtId="0" fontId="5" fillId="4" borderId="4" xfId="0" applyFont="1" applyFill="1" applyBorder="1"/>
    <xf numFmtId="0" fontId="4" fillId="4" borderId="4" xfId="0" applyFont="1" applyFill="1" applyBorder="1"/>
    <xf numFmtId="0" fontId="0" fillId="4" borderId="4" xfId="0" applyFill="1" applyBorder="1"/>
    <xf numFmtId="0" fontId="0" fillId="4" borderId="5" xfId="0" applyFill="1" applyBorder="1"/>
    <xf numFmtId="0" fontId="5" fillId="4" borderId="6" xfId="0" applyFont="1" applyFill="1" applyBorder="1" applyAlignment="1">
      <alignment horizontal="left" indent="2"/>
    </xf>
    <xf numFmtId="0" fontId="6" fillId="4" borderId="0" xfId="0" applyFont="1" applyFill="1" applyBorder="1" applyAlignment="1"/>
    <xf numFmtId="0" fontId="0" fillId="4" borderId="1" xfId="0" applyFill="1" applyBorder="1"/>
    <xf numFmtId="0" fontId="9" fillId="4" borderId="0" xfId="0" applyFont="1" applyFill="1" applyBorder="1" applyAlignment="1">
      <alignment wrapText="1"/>
    </xf>
    <xf numFmtId="0" fontId="9" fillId="4" borderId="0" xfId="0" applyFont="1" applyFill="1" applyBorder="1" applyAlignment="1"/>
    <xf numFmtId="0" fontId="0" fillId="4" borderId="0" xfId="0" applyFill="1" applyBorder="1" applyAlignment="1"/>
    <xf numFmtId="0" fontId="4" fillId="4" borderId="6" xfId="0" applyFont="1" applyFill="1" applyBorder="1"/>
    <xf numFmtId="0" fontId="0" fillId="4" borderId="0" xfId="0" applyFill="1" applyBorder="1"/>
    <xf numFmtId="0" fontId="0" fillId="4" borderId="6" xfId="0" applyFill="1" applyBorder="1"/>
    <xf numFmtId="0" fontId="8" fillId="4" borderId="0" xfId="0" applyFont="1" applyFill="1" applyBorder="1" applyAlignment="1">
      <alignment wrapText="1"/>
    </xf>
    <xf numFmtId="0" fontId="7" fillId="4" borderId="0" xfId="0" applyFont="1" applyFill="1" applyBorder="1" applyAlignment="1">
      <alignment wrapText="1"/>
    </xf>
    <xf numFmtId="165" fontId="9" fillId="4" borderId="0" xfId="0" applyNumberFormat="1" applyFont="1" applyFill="1" applyBorder="1"/>
    <xf numFmtId="0" fontId="10" fillId="4" borderId="0" xfId="0" applyFont="1" applyFill="1" applyBorder="1"/>
    <xf numFmtId="0" fontId="0" fillId="4" borderId="8" xfId="0" applyFill="1" applyBorder="1"/>
    <xf numFmtId="0" fontId="0" fillId="4" borderId="9" xfId="0" applyFill="1" applyBorder="1"/>
    <xf numFmtId="0" fontId="9" fillId="0" borderId="2" xfId="0" applyFont="1" applyBorder="1" applyAlignment="1">
      <alignment wrapText="1"/>
    </xf>
    <xf numFmtId="0" fontId="9" fillId="0" borderId="2" xfId="0" applyFont="1" applyFill="1" applyBorder="1" applyAlignment="1"/>
    <xf numFmtId="0" fontId="4" fillId="4" borderId="7" xfId="0" applyFont="1" applyFill="1" applyBorder="1"/>
    <xf numFmtId="0" fontId="7" fillId="5" borderId="2" xfId="0" applyFont="1" applyFill="1" applyBorder="1" applyAlignment="1"/>
    <xf numFmtId="3" fontId="9" fillId="3" borderId="2" xfId="0" applyNumberFormat="1" applyFont="1" applyFill="1" applyBorder="1" applyAlignment="1">
      <alignment wrapText="1"/>
    </xf>
    <xf numFmtId="166" fontId="9" fillId="3" borderId="2" xfId="0" applyNumberFormat="1" applyFont="1" applyFill="1" applyBorder="1" applyAlignment="1">
      <alignment wrapText="1"/>
    </xf>
    <xf numFmtId="49" fontId="9" fillId="3" borderId="2" xfId="0" applyNumberFormat="1" applyFont="1" applyFill="1" applyBorder="1" applyAlignment="1">
      <alignment horizontal="right" wrapText="1"/>
    </xf>
    <xf numFmtId="0" fontId="12" fillId="5" borderId="2" xfId="0" applyFont="1" applyFill="1" applyBorder="1" applyAlignment="1">
      <alignment horizontal="center"/>
    </xf>
    <xf numFmtId="0" fontId="9" fillId="4" borderId="0" xfId="0" applyFont="1" applyFill="1" applyBorder="1"/>
    <xf numFmtId="3" fontId="9" fillId="4" borderId="0" xfId="0" applyNumberFormat="1" applyFont="1" applyFill="1" applyBorder="1" applyAlignment="1">
      <alignment vertical="center"/>
    </xf>
    <xf numFmtId="0" fontId="9" fillId="4" borderId="14" xfId="0" applyFont="1" applyFill="1" applyBorder="1" applyAlignment="1">
      <alignment vertical="center"/>
    </xf>
    <xf numFmtId="165" fontId="9" fillId="4" borderId="0" xfId="0" applyNumberFormat="1" applyFont="1" applyFill="1" applyBorder="1" applyAlignment="1">
      <alignment vertical="center"/>
    </xf>
    <xf numFmtId="0" fontId="9" fillId="6" borderId="17" xfId="0" applyFont="1" applyFill="1" applyBorder="1" applyAlignment="1">
      <alignment vertical="center"/>
    </xf>
    <xf numFmtId="167" fontId="0" fillId="6" borderId="19" xfId="0" applyNumberFormat="1" applyFill="1" applyBorder="1" applyAlignment="1">
      <alignment vertical="center"/>
    </xf>
    <xf numFmtId="0" fontId="10" fillId="6" borderId="18" xfId="0" applyFont="1" applyFill="1" applyBorder="1" applyAlignment="1">
      <alignment vertical="center"/>
    </xf>
    <xf numFmtId="0" fontId="7" fillId="4" borderId="10" xfId="0" applyFont="1" applyFill="1" applyBorder="1" applyAlignment="1">
      <alignment vertical="center" wrapText="1"/>
    </xf>
    <xf numFmtId="0" fontId="9" fillId="4" borderId="11" xfId="0" applyFont="1" applyFill="1" applyBorder="1" applyAlignment="1">
      <alignment vertical="center"/>
    </xf>
    <xf numFmtId="165" fontId="9" fillId="4" borderId="11" xfId="0" applyNumberFormat="1" applyFont="1" applyFill="1" applyBorder="1" applyAlignment="1">
      <alignment vertical="center"/>
    </xf>
    <xf numFmtId="0" fontId="9" fillId="4" borderId="12" xfId="0" applyFont="1" applyFill="1" applyBorder="1" applyAlignment="1">
      <alignment vertical="center"/>
    </xf>
    <xf numFmtId="0" fontId="9" fillId="4" borderId="0" xfId="0" applyFont="1" applyFill="1" applyBorder="1" applyAlignment="1">
      <alignment vertical="center"/>
    </xf>
    <xf numFmtId="3" fontId="9" fillId="4" borderId="11" xfId="0" applyNumberFormat="1" applyFont="1" applyFill="1" applyBorder="1" applyAlignment="1">
      <alignment vertical="center"/>
    </xf>
    <xf numFmtId="0" fontId="9" fillId="4" borderId="8" xfId="0" applyFont="1" applyFill="1" applyBorder="1" applyAlignment="1">
      <alignment vertical="center"/>
    </xf>
    <xf numFmtId="3" fontId="9" fillId="4" borderId="8" xfId="0" applyNumberFormat="1" applyFont="1" applyFill="1" applyBorder="1" applyAlignment="1">
      <alignment vertical="center"/>
    </xf>
    <xf numFmtId="0" fontId="0" fillId="4" borderId="0" xfId="0" applyFill="1" applyBorder="1" applyAlignment="1">
      <alignment vertical="center"/>
    </xf>
    <xf numFmtId="0" fontId="0" fillId="4" borderId="20" xfId="0" applyFill="1" applyBorder="1" applyAlignment="1">
      <alignment vertical="center"/>
    </xf>
    <xf numFmtId="0" fontId="9" fillId="4" borderId="21" xfId="0" applyFont="1" applyFill="1" applyBorder="1" applyAlignment="1">
      <alignment vertical="center"/>
    </xf>
    <xf numFmtId="167" fontId="0" fillId="4" borderId="21" xfId="0" applyNumberFormat="1" applyFill="1" applyBorder="1" applyAlignment="1">
      <alignment vertical="center"/>
    </xf>
    <xf numFmtId="0" fontId="9" fillId="4" borderId="22" xfId="0" applyFont="1" applyFill="1" applyBorder="1" applyAlignment="1">
      <alignment horizontal="right" vertical="center"/>
    </xf>
    <xf numFmtId="0" fontId="15" fillId="9" borderId="0" xfId="0" applyFont="1" applyFill="1" applyBorder="1"/>
    <xf numFmtId="0" fontId="15" fillId="9" borderId="0" xfId="0" applyFont="1" applyFill="1"/>
    <xf numFmtId="0" fontId="15" fillId="7" borderId="0" xfId="0" applyFont="1" applyFill="1" applyBorder="1"/>
    <xf numFmtId="0" fontId="15" fillId="7" borderId="8" xfId="0" applyFont="1" applyFill="1" applyBorder="1"/>
    <xf numFmtId="0" fontId="14" fillId="9" borderId="0" xfId="0" applyFont="1" applyFill="1"/>
    <xf numFmtId="0" fontId="0" fillId="9" borderId="0" xfId="0" applyFill="1"/>
    <xf numFmtId="166" fontId="15" fillId="9" borderId="0" xfId="0" applyNumberFormat="1" applyFont="1" applyFill="1" applyBorder="1"/>
    <xf numFmtId="0" fontId="18" fillId="9" borderId="0" xfId="0" applyFont="1" applyFill="1"/>
    <xf numFmtId="166" fontId="15" fillId="7" borderId="23" xfId="0" applyNumberFormat="1" applyFont="1" applyFill="1" applyBorder="1"/>
    <xf numFmtId="0" fontId="17" fillId="7" borderId="26" xfId="0" applyFont="1" applyFill="1" applyBorder="1" applyAlignment="1">
      <alignment wrapText="1"/>
    </xf>
    <xf numFmtId="166" fontId="15" fillId="7" borderId="54" xfId="0" applyNumberFormat="1" applyFont="1" applyFill="1" applyBorder="1"/>
    <xf numFmtId="0" fontId="15" fillId="7" borderId="54" xfId="0" applyFont="1" applyFill="1" applyBorder="1"/>
    <xf numFmtId="0" fontId="15" fillId="7" borderId="56" xfId="0" applyFont="1" applyFill="1" applyBorder="1"/>
    <xf numFmtId="0" fontId="17" fillId="7" borderId="27" xfId="0" applyFont="1" applyFill="1" applyBorder="1" applyAlignment="1">
      <alignment wrapText="1"/>
    </xf>
    <xf numFmtId="166" fontId="17" fillId="7" borderId="58" xfId="0" applyNumberFormat="1" applyFont="1" applyFill="1" applyBorder="1"/>
    <xf numFmtId="166" fontId="15" fillId="7" borderId="59" xfId="0" applyNumberFormat="1" applyFont="1" applyFill="1" applyBorder="1"/>
    <xf numFmtId="0" fontId="17" fillId="7" borderId="60" xfId="0" applyFont="1" applyFill="1" applyBorder="1"/>
    <xf numFmtId="0" fontId="15" fillId="7" borderId="47" xfId="0" applyFont="1" applyFill="1" applyBorder="1"/>
    <xf numFmtId="0" fontId="15" fillId="7" borderId="61" xfId="0" applyFont="1" applyFill="1" applyBorder="1"/>
    <xf numFmtId="0" fontId="17" fillId="7" borderId="28" xfId="0" applyFont="1" applyFill="1" applyBorder="1" applyAlignment="1">
      <alignment wrapText="1"/>
    </xf>
    <xf numFmtId="0" fontId="17" fillId="7" borderId="32" xfId="0" applyFont="1" applyFill="1" applyBorder="1" applyAlignment="1">
      <alignment wrapText="1"/>
    </xf>
    <xf numFmtId="0" fontId="37" fillId="11" borderId="11" xfId="0" applyFont="1" applyFill="1" applyBorder="1"/>
    <xf numFmtId="0" fontId="37" fillId="11" borderId="12" xfId="0" applyFont="1" applyFill="1" applyBorder="1"/>
    <xf numFmtId="0" fontId="37" fillId="11" borderId="16" xfId="0" applyFont="1" applyFill="1" applyBorder="1"/>
    <xf numFmtId="0" fontId="37" fillId="11" borderId="15" xfId="0" applyFont="1" applyFill="1" applyBorder="1"/>
    <xf numFmtId="0" fontId="37" fillId="11" borderId="0" xfId="0" applyFont="1" applyFill="1" applyBorder="1"/>
    <xf numFmtId="0" fontId="37" fillId="11" borderId="14" xfId="0" applyFont="1" applyFill="1" applyBorder="1"/>
    <xf numFmtId="0" fontId="11" fillId="11" borderId="13" xfId="1" applyFill="1" applyBorder="1" applyAlignment="1" applyProtection="1"/>
    <xf numFmtId="0" fontId="37" fillId="11" borderId="25" xfId="0" applyFont="1" applyFill="1" applyBorder="1"/>
    <xf numFmtId="0" fontId="37" fillId="11" borderId="10" xfId="0" applyFont="1" applyFill="1" applyBorder="1"/>
    <xf numFmtId="0" fontId="17" fillId="7" borderId="54" xfId="0" applyFont="1" applyFill="1" applyBorder="1"/>
    <xf numFmtId="0" fontId="17" fillId="7" borderId="23" xfId="0" applyFont="1" applyFill="1" applyBorder="1"/>
    <xf numFmtId="0" fontId="17" fillId="7" borderId="13" xfId="0" applyFont="1" applyFill="1" applyBorder="1" applyAlignment="1"/>
    <xf numFmtId="0" fontId="15" fillId="7" borderId="13" xfId="0" applyFont="1" applyFill="1" applyBorder="1" applyAlignment="1"/>
    <xf numFmtId="0" fontId="38" fillId="8" borderId="17" xfId="0" applyFont="1" applyFill="1" applyBorder="1"/>
    <xf numFmtId="0" fontId="39" fillId="8" borderId="19" xfId="0" applyFont="1" applyFill="1" applyBorder="1"/>
    <xf numFmtId="0" fontId="39" fillId="8" borderId="18" xfId="0" applyFont="1" applyFill="1" applyBorder="1"/>
    <xf numFmtId="0" fontId="15" fillId="7" borderId="26" xfId="0" applyFont="1" applyFill="1" applyBorder="1"/>
    <xf numFmtId="0" fontId="15" fillId="7" borderId="27" xfId="0" applyFont="1" applyFill="1" applyBorder="1" applyAlignment="1">
      <alignment wrapText="1"/>
    </xf>
    <xf numFmtId="0" fontId="15" fillId="7" borderId="28" xfId="0" applyFont="1" applyFill="1" applyBorder="1" applyAlignment="1">
      <alignment wrapText="1"/>
    </xf>
    <xf numFmtId="0" fontId="15" fillId="7" borderId="63" xfId="0" applyFont="1" applyFill="1" applyBorder="1"/>
    <xf numFmtId="0" fontId="15" fillId="7" borderId="65" xfId="0" applyFont="1" applyFill="1" applyBorder="1"/>
    <xf numFmtId="11" fontId="15" fillId="9" borderId="0" xfId="0" applyNumberFormat="1" applyFont="1" applyFill="1"/>
    <xf numFmtId="0" fontId="17" fillId="9" borderId="0" xfId="0" applyFont="1" applyFill="1"/>
    <xf numFmtId="0" fontId="15" fillId="9" borderId="0" xfId="0" applyFont="1" applyFill="1" applyAlignment="1">
      <alignment wrapText="1"/>
    </xf>
    <xf numFmtId="166" fontId="15" fillId="9" borderId="0" xfId="0" applyNumberFormat="1" applyFont="1" applyFill="1"/>
    <xf numFmtId="166" fontId="15" fillId="9" borderId="0" xfId="0" quotePrefix="1" applyNumberFormat="1" applyFont="1" applyFill="1"/>
    <xf numFmtId="0" fontId="21" fillId="9" borderId="0" xfId="0" applyFont="1" applyFill="1"/>
    <xf numFmtId="166" fontId="15" fillId="7" borderId="2" xfId="0" applyNumberFormat="1" applyFont="1" applyFill="1" applyBorder="1"/>
    <xf numFmtId="166" fontId="15" fillId="7" borderId="66" xfId="0" applyNumberFormat="1" applyFont="1" applyFill="1" applyBorder="1"/>
    <xf numFmtId="166" fontId="15" fillId="7" borderId="64" xfId="0" applyNumberFormat="1" applyFont="1" applyFill="1" applyBorder="1"/>
    <xf numFmtId="0" fontId="13" fillId="9" borderId="0" xfId="0" applyFont="1" applyFill="1"/>
    <xf numFmtId="0" fontId="9" fillId="9" borderId="0" xfId="0" applyFont="1" applyFill="1"/>
    <xf numFmtId="0" fontId="30" fillId="9" borderId="0" xfId="0" applyFont="1" applyFill="1"/>
    <xf numFmtId="0" fontId="43" fillId="9" borderId="0" xfId="0" applyFont="1" applyFill="1"/>
    <xf numFmtId="0" fontId="20" fillId="9" borderId="0" xfId="0" applyFont="1" applyFill="1"/>
    <xf numFmtId="0" fontId="21" fillId="9" borderId="0" xfId="0" applyFont="1" applyFill="1" applyBorder="1"/>
    <xf numFmtId="0" fontId="47" fillId="9" borderId="0" xfId="0" applyFont="1" applyFill="1"/>
    <xf numFmtId="166" fontId="15" fillId="7" borderId="55" xfId="0" applyNumberFormat="1" applyFont="1" applyFill="1" applyBorder="1"/>
    <xf numFmtId="166" fontId="15" fillId="7" borderId="56" xfId="0" applyNumberFormat="1" applyFont="1" applyFill="1" applyBorder="1"/>
    <xf numFmtId="166" fontId="15" fillId="7" borderId="57" xfId="0" applyNumberFormat="1" applyFont="1" applyFill="1" applyBorder="1"/>
    <xf numFmtId="0" fontId="35" fillId="8" borderId="17" xfId="0" applyFont="1" applyFill="1" applyBorder="1" applyAlignment="1">
      <alignment wrapText="1"/>
    </xf>
    <xf numFmtId="0" fontId="36" fillId="8" borderId="19" xfId="0" applyFont="1" applyFill="1" applyBorder="1" applyAlignment="1">
      <alignment wrapText="1"/>
    </xf>
    <xf numFmtId="0" fontId="36" fillId="8" borderId="18" xfId="0" applyFont="1" applyFill="1" applyBorder="1" applyAlignment="1">
      <alignment wrapText="1"/>
    </xf>
    <xf numFmtId="0" fontId="15" fillId="9" borderId="6" xfId="0" applyFont="1" applyFill="1" applyBorder="1"/>
    <xf numFmtId="166" fontId="15" fillId="7" borderId="47" xfId="0" applyNumberFormat="1" applyFont="1" applyFill="1" applyBorder="1"/>
    <xf numFmtId="166" fontId="15" fillId="7" borderId="6" xfId="0" applyNumberFormat="1" applyFont="1" applyFill="1" applyBorder="1"/>
    <xf numFmtId="166" fontId="15" fillId="7" borderId="7" xfId="0" applyNumberFormat="1" applyFont="1" applyFill="1" applyBorder="1"/>
    <xf numFmtId="0" fontId="18" fillId="9" borderId="0" xfId="0" applyFont="1" applyFill="1" applyBorder="1"/>
    <xf numFmtId="166" fontId="15" fillId="7" borderId="24" xfId="0" applyNumberFormat="1" applyFont="1" applyFill="1" applyBorder="1" applyAlignment="1">
      <alignment vertical="center" wrapText="1"/>
    </xf>
    <xf numFmtId="166" fontId="15" fillId="7" borderId="23" xfId="0" applyNumberFormat="1" applyFont="1" applyFill="1" applyBorder="1" applyAlignment="1">
      <alignment vertical="center" wrapText="1"/>
    </xf>
    <xf numFmtId="166" fontId="15" fillId="7" borderId="59" xfId="0" applyNumberFormat="1" applyFont="1" applyFill="1" applyBorder="1" applyAlignment="1">
      <alignment vertical="center" wrapText="1"/>
    </xf>
    <xf numFmtId="166" fontId="15" fillId="7" borderId="27" xfId="0" applyNumberFormat="1" applyFont="1" applyFill="1" applyBorder="1"/>
    <xf numFmtId="0" fontId="15" fillId="7" borderId="27" xfId="0" applyFont="1" applyFill="1" applyBorder="1"/>
    <xf numFmtId="166" fontId="15" fillId="7" borderId="2" xfId="0" applyNumberFormat="1" applyFont="1" applyFill="1" applyBorder="1" applyAlignment="1">
      <alignment horizontal="right"/>
    </xf>
    <xf numFmtId="0" fontId="15" fillId="7" borderId="2" xfId="0" applyFont="1" applyFill="1" applyBorder="1"/>
    <xf numFmtId="1" fontId="15" fillId="7" borderId="2" xfId="0" applyNumberFormat="1" applyFont="1" applyFill="1" applyBorder="1" applyAlignment="1">
      <alignment horizontal="right"/>
    </xf>
    <xf numFmtId="0" fontId="15" fillId="7" borderId="96" xfId="0" applyFont="1" applyFill="1" applyBorder="1"/>
    <xf numFmtId="166" fontId="21" fillId="9" borderId="0" xfId="0" applyNumberFormat="1" applyFont="1" applyFill="1" applyBorder="1" applyAlignment="1">
      <alignment horizontal="right"/>
    </xf>
    <xf numFmtId="0" fontId="15" fillId="7" borderId="99" xfId="0" applyFont="1" applyFill="1" applyBorder="1"/>
    <xf numFmtId="0" fontId="15" fillId="7" borderId="100" xfId="0" applyFont="1" applyFill="1" applyBorder="1"/>
    <xf numFmtId="0" fontId="15" fillId="7" borderId="101" xfId="0" applyFont="1" applyFill="1" applyBorder="1"/>
    <xf numFmtId="0" fontId="15" fillId="9" borderId="102" xfId="0" applyFont="1" applyFill="1" applyBorder="1"/>
    <xf numFmtId="0" fontId="47" fillId="9" borderId="88" xfId="0" applyFont="1" applyFill="1" applyBorder="1"/>
    <xf numFmtId="166" fontId="17" fillId="9" borderId="0" xfId="0" applyNumberFormat="1" applyFont="1" applyFill="1"/>
    <xf numFmtId="166" fontId="15" fillId="16" borderId="64" xfId="0" applyNumberFormat="1" applyFont="1" applyFill="1" applyBorder="1" applyAlignment="1">
      <alignment horizontal="right"/>
    </xf>
    <xf numFmtId="166" fontId="15" fillId="16" borderId="67" xfId="0" applyNumberFormat="1" applyFont="1" applyFill="1" applyBorder="1" applyAlignment="1">
      <alignment horizontal="right"/>
    </xf>
    <xf numFmtId="0" fontId="15" fillId="15" borderId="2" xfId="0" applyFont="1" applyFill="1" applyBorder="1"/>
    <xf numFmtId="0" fontId="53" fillId="9" borderId="0" xfId="0" applyFont="1" applyFill="1" applyAlignment="1">
      <alignment horizontal="left"/>
    </xf>
    <xf numFmtId="0" fontId="46" fillId="14" borderId="2" xfId="0" applyFont="1" applyFill="1" applyBorder="1" applyAlignment="1" applyProtection="1">
      <alignment horizontal="center" vertical="center"/>
    </xf>
    <xf numFmtId="0" fontId="15" fillId="9" borderId="0" xfId="0" applyFont="1" applyFill="1" applyProtection="1"/>
    <xf numFmtId="0" fontId="40" fillId="7" borderId="3" xfId="0" applyFont="1" applyFill="1" applyBorder="1" applyAlignment="1" applyProtection="1">
      <alignment vertical="top"/>
    </xf>
    <xf numFmtId="0" fontId="41" fillId="7" borderId="4" xfId="0" applyFont="1" applyFill="1" applyBorder="1" applyAlignment="1" applyProtection="1">
      <alignment vertical="top"/>
    </xf>
    <xf numFmtId="0" fontId="40" fillId="7" borderId="4" xfId="0" applyFont="1" applyFill="1" applyBorder="1" applyAlignment="1" applyProtection="1">
      <alignment vertical="top"/>
    </xf>
    <xf numFmtId="0" fontId="40" fillId="7" borderId="5" xfId="0" applyFont="1" applyFill="1" applyBorder="1" applyAlignment="1" applyProtection="1">
      <alignment vertical="top"/>
    </xf>
    <xf numFmtId="0" fontId="40" fillId="7" borderId="6" xfId="0" applyFont="1" applyFill="1" applyBorder="1" applyAlignment="1" applyProtection="1">
      <alignment vertical="top"/>
    </xf>
    <xf numFmtId="0" fontId="25" fillId="7" borderId="0" xfId="0" applyFont="1" applyFill="1" applyBorder="1" applyAlignment="1" applyProtection="1">
      <alignment vertical="top" wrapText="1"/>
    </xf>
    <xf numFmtId="0" fontId="44" fillId="7" borderId="0" xfId="0" applyFont="1" applyFill="1" applyBorder="1" applyAlignment="1" applyProtection="1">
      <alignment vertical="top"/>
    </xf>
    <xf numFmtId="166" fontId="44" fillId="7" borderId="0" xfId="0" applyNumberFormat="1" applyFont="1" applyFill="1" applyBorder="1" applyAlignment="1" applyProtection="1">
      <alignment vertical="top"/>
    </xf>
    <xf numFmtId="0" fontId="40" fillId="7" borderId="1" xfId="0" applyFont="1" applyFill="1" applyBorder="1" applyAlignment="1" applyProtection="1">
      <alignment vertical="top"/>
    </xf>
    <xf numFmtId="0" fontId="15" fillId="9" borderId="0" xfId="0" applyFont="1" applyFill="1" applyBorder="1" applyProtection="1"/>
    <xf numFmtId="0" fontId="29" fillId="15" borderId="2" xfId="0" applyFont="1" applyFill="1" applyBorder="1" applyAlignment="1" applyProtection="1">
      <alignment vertical="top"/>
    </xf>
    <xf numFmtId="0" fontId="30" fillId="15" borderId="2" xfId="0" applyFont="1" applyFill="1" applyBorder="1" applyAlignment="1" applyProtection="1">
      <alignment vertical="top"/>
    </xf>
    <xf numFmtId="0" fontId="40" fillId="9" borderId="0" xfId="0" applyFont="1" applyFill="1" applyBorder="1" applyAlignment="1" applyProtection="1">
      <alignment vertical="top"/>
    </xf>
    <xf numFmtId="0" fontId="30" fillId="15" borderId="20" xfId="0" applyFont="1" applyFill="1" applyBorder="1" applyAlignment="1" applyProtection="1">
      <alignment horizontal="left" vertical="top"/>
    </xf>
    <xf numFmtId="0" fontId="30" fillId="15" borderId="21" xfId="0" applyFont="1" applyFill="1" applyBorder="1" applyAlignment="1" applyProtection="1">
      <alignment horizontal="left" vertical="top"/>
    </xf>
    <xf numFmtId="0" fontId="30" fillId="15" borderId="22" xfId="0" applyFont="1" applyFill="1" applyBorder="1" applyAlignment="1" applyProtection="1">
      <alignment horizontal="left" vertical="top"/>
    </xf>
    <xf numFmtId="0" fontId="21" fillId="9" borderId="0" xfId="0" applyFont="1" applyFill="1" applyBorder="1" applyProtection="1"/>
    <xf numFmtId="0" fontId="40" fillId="7" borderId="7" xfId="0" applyFont="1" applyFill="1" applyBorder="1" applyAlignment="1" applyProtection="1">
      <alignment vertical="top"/>
    </xf>
    <xf numFmtId="0" fontId="40" fillId="7" borderId="8" xfId="0" applyFont="1" applyFill="1" applyBorder="1" applyAlignment="1" applyProtection="1">
      <alignment vertical="top"/>
    </xf>
    <xf numFmtId="167" fontId="40" fillId="7" borderId="8" xfId="0" applyNumberFormat="1" applyFont="1" applyFill="1" applyBorder="1" applyAlignment="1" applyProtection="1">
      <alignment horizontal="left" vertical="top"/>
    </xf>
    <xf numFmtId="0" fontId="40" fillId="7" borderId="8" xfId="0" applyFont="1" applyFill="1" applyBorder="1" applyAlignment="1" applyProtection="1">
      <alignment horizontal="left" vertical="top"/>
    </xf>
    <xf numFmtId="0" fontId="40" fillId="7" borderId="9" xfId="0" applyFont="1" applyFill="1" applyBorder="1" applyAlignment="1" applyProtection="1">
      <alignment vertical="top"/>
    </xf>
    <xf numFmtId="0" fontId="40" fillId="9" borderId="19" xfId="0" applyFont="1" applyFill="1" applyBorder="1" applyAlignment="1" applyProtection="1">
      <alignment vertical="top"/>
    </xf>
    <xf numFmtId="167" fontId="40" fillId="9" borderId="0" xfId="0" applyNumberFormat="1" applyFont="1" applyFill="1" applyBorder="1" applyAlignment="1" applyProtection="1">
      <alignment horizontal="left" vertical="top"/>
    </xf>
    <xf numFmtId="0" fontId="40" fillId="9" borderId="0" xfId="0" applyFont="1" applyFill="1" applyBorder="1" applyAlignment="1" applyProtection="1">
      <alignment horizontal="left" vertical="top"/>
    </xf>
    <xf numFmtId="0" fontId="15" fillId="7" borderId="3" xfId="0" applyFont="1" applyFill="1" applyBorder="1" applyProtection="1"/>
    <xf numFmtId="0" fontId="23" fillId="7" borderId="4" xfId="0" applyFont="1" applyFill="1" applyBorder="1" applyProtection="1"/>
    <xf numFmtId="0" fontId="22" fillId="7" borderId="4" xfId="0" applyFont="1" applyFill="1" applyBorder="1" applyProtection="1"/>
    <xf numFmtId="0" fontId="15" fillId="7" borderId="4" xfId="0" applyFont="1" applyFill="1" applyBorder="1" applyProtection="1"/>
    <xf numFmtId="0" fontId="15" fillId="7" borderId="5" xfId="0" applyFont="1" applyFill="1" applyBorder="1" applyProtection="1"/>
    <xf numFmtId="0" fontId="23" fillId="7" borderId="6" xfId="0" applyFont="1" applyFill="1" applyBorder="1" applyAlignment="1" applyProtection="1">
      <alignment horizontal="left" indent="2"/>
    </xf>
    <xf numFmtId="0" fontId="19" fillId="7" borderId="0" xfId="0" applyFont="1" applyFill="1" applyBorder="1" applyAlignment="1" applyProtection="1"/>
    <xf numFmtId="0" fontId="15" fillId="7" borderId="1" xfId="0" applyFont="1" applyFill="1" applyBorder="1" applyProtection="1"/>
    <xf numFmtId="0" fontId="22" fillId="7" borderId="6" xfId="0" applyFont="1" applyFill="1" applyBorder="1" applyProtection="1"/>
    <xf numFmtId="0" fontId="40" fillId="7" borderId="0" xfId="0" applyFont="1" applyFill="1" applyBorder="1" applyAlignment="1" applyProtection="1">
      <alignment vertical="top"/>
    </xf>
    <xf numFmtId="167" fontId="40" fillId="7" borderId="0" xfId="0" applyNumberFormat="1" applyFont="1" applyFill="1" applyBorder="1" applyAlignment="1" applyProtection="1">
      <alignment horizontal="left" vertical="top"/>
    </xf>
    <xf numFmtId="0" fontId="40" fillId="7" borderId="0" xfId="0" applyFont="1" applyFill="1" applyBorder="1" applyAlignment="1" applyProtection="1">
      <alignment horizontal="left" vertical="top"/>
    </xf>
    <xf numFmtId="0" fontId="25" fillId="7" borderId="0" xfId="0" applyFont="1" applyFill="1" applyBorder="1" applyAlignment="1" applyProtection="1">
      <alignment wrapText="1"/>
    </xf>
    <xf numFmtId="0" fontId="26" fillId="7" borderId="0" xfId="0" applyFont="1" applyFill="1" applyBorder="1" applyAlignment="1" applyProtection="1">
      <alignment horizontal="center"/>
    </xf>
    <xf numFmtId="0" fontId="29" fillId="13" borderId="43" xfId="0" applyFont="1" applyFill="1" applyBorder="1" applyAlignment="1" applyProtection="1">
      <alignment vertical="center"/>
    </xf>
    <xf numFmtId="0" fontId="29" fillId="13" borderId="34" xfId="0" applyFont="1" applyFill="1" applyBorder="1" applyAlignment="1" applyProtection="1">
      <alignment horizontal="center" vertical="center"/>
    </xf>
    <xf numFmtId="0" fontId="29" fillId="13" borderId="44" xfId="0" applyFont="1" applyFill="1" applyBorder="1" applyAlignment="1" applyProtection="1">
      <alignment horizontal="center" vertical="center"/>
    </xf>
    <xf numFmtId="0" fontId="29" fillId="13" borderId="45" xfId="0" applyFont="1" applyFill="1" applyBorder="1" applyAlignment="1" applyProtection="1">
      <alignment horizontal="center" vertical="center"/>
    </xf>
    <xf numFmtId="0" fontId="22" fillId="7" borderId="47" xfId="0" applyFont="1" applyFill="1" applyBorder="1" applyProtection="1"/>
    <xf numFmtId="0" fontId="30" fillId="13" borderId="81" xfId="0" applyFont="1" applyFill="1" applyBorder="1" applyProtection="1"/>
    <xf numFmtId="0" fontId="29" fillId="13" borderId="0" xfId="0" applyFont="1" applyFill="1" applyBorder="1" applyAlignment="1" applyProtection="1">
      <alignment horizontal="center" vertical="center"/>
    </xf>
    <xf numFmtId="0" fontId="30" fillId="13" borderId="51" xfId="0" applyFont="1" applyFill="1" applyBorder="1" applyAlignment="1" applyProtection="1">
      <alignment horizontal="left" vertical="center" wrapText="1"/>
    </xf>
    <xf numFmtId="0" fontId="30" fillId="13" borderId="41" xfId="0" applyFont="1" applyFill="1" applyBorder="1" applyAlignment="1" applyProtection="1">
      <alignment vertical="center" wrapText="1"/>
    </xf>
    <xf numFmtId="0" fontId="30" fillId="13" borderId="138" xfId="0" applyFont="1" applyFill="1" applyBorder="1" applyAlignment="1" applyProtection="1">
      <alignment vertical="center" wrapText="1"/>
    </xf>
    <xf numFmtId="0" fontId="30" fillId="13" borderId="136" xfId="0" applyFont="1" applyFill="1" applyBorder="1" applyAlignment="1" applyProtection="1">
      <alignment horizontal="left" vertical="center" wrapText="1"/>
    </xf>
    <xf numFmtId="0" fontId="30" fillId="13" borderId="82" xfId="0" applyFont="1" applyFill="1" applyBorder="1" applyAlignment="1" applyProtection="1">
      <alignment vertical="center" wrapText="1"/>
    </xf>
    <xf numFmtId="0" fontId="30" fillId="13" borderId="0" xfId="0" applyFont="1" applyFill="1" applyBorder="1" applyAlignment="1" applyProtection="1">
      <alignment vertical="center" wrapText="1"/>
    </xf>
    <xf numFmtId="0" fontId="30" fillId="13" borderId="137" xfId="0" applyFont="1" applyFill="1" applyBorder="1" applyAlignment="1" applyProtection="1">
      <alignment vertical="center" wrapText="1"/>
    </xf>
    <xf numFmtId="0" fontId="30" fillId="13" borderId="80" xfId="0" applyFont="1" applyFill="1" applyBorder="1" applyProtection="1"/>
    <xf numFmtId="0" fontId="30" fillId="13" borderId="78" xfId="0" applyFont="1" applyFill="1" applyBorder="1" applyAlignment="1" applyProtection="1">
      <alignment vertical="center" wrapText="1"/>
    </xf>
    <xf numFmtId="0" fontId="30" fillId="13" borderId="29" xfId="0" applyFont="1" applyFill="1" applyBorder="1" applyAlignment="1" applyProtection="1">
      <alignment vertical="center" wrapText="1"/>
    </xf>
    <xf numFmtId="164" fontId="30" fillId="13" borderId="31" xfId="0" applyNumberFormat="1" applyFont="1" applyFill="1" applyBorder="1" applyAlignment="1" applyProtection="1">
      <alignment horizontal="center" vertical="center" wrapText="1"/>
    </xf>
    <xf numFmtId="0" fontId="30" fillId="13" borderId="134" xfId="0" applyFont="1" applyFill="1" applyBorder="1" applyAlignment="1" applyProtection="1">
      <alignment vertical="center" wrapText="1"/>
    </xf>
    <xf numFmtId="0" fontId="30" fillId="13" borderId="36" xfId="0" applyFont="1" applyFill="1" applyBorder="1" applyAlignment="1" applyProtection="1">
      <alignment vertical="center" wrapText="1"/>
    </xf>
    <xf numFmtId="0" fontId="30" fillId="13" borderId="29" xfId="0" applyFont="1" applyFill="1" applyBorder="1" applyAlignment="1" applyProtection="1">
      <alignment vertical="center"/>
    </xf>
    <xf numFmtId="0" fontId="30" fillId="13" borderId="135" xfId="0" applyFont="1" applyFill="1" applyBorder="1" applyAlignment="1" applyProtection="1">
      <alignment vertical="center" wrapText="1"/>
    </xf>
    <xf numFmtId="0" fontId="15" fillId="9" borderId="0" xfId="0" quotePrefix="1" applyFont="1" applyFill="1" applyProtection="1"/>
    <xf numFmtId="0" fontId="30" fillId="13" borderId="77" xfId="0" applyFont="1" applyFill="1" applyBorder="1" applyAlignment="1" applyProtection="1">
      <alignment vertical="center" wrapText="1"/>
    </xf>
    <xf numFmtId="0" fontId="30" fillId="13" borderId="37" xfId="0" applyFont="1" applyFill="1" applyBorder="1" applyAlignment="1" applyProtection="1">
      <alignment vertical="center" wrapText="1"/>
    </xf>
    <xf numFmtId="0" fontId="30" fillId="13" borderId="131" xfId="0" applyFont="1" applyFill="1" applyBorder="1" applyAlignment="1" applyProtection="1">
      <alignment vertical="center" wrapText="1"/>
    </xf>
    <xf numFmtId="0" fontId="30" fillId="13" borderId="50" xfId="0" applyFont="1" applyFill="1" applyBorder="1" applyAlignment="1" applyProtection="1">
      <alignment vertical="center" wrapText="1"/>
    </xf>
    <xf numFmtId="0" fontId="30" fillId="13" borderId="38" xfId="0" applyFont="1" applyFill="1" applyBorder="1" applyAlignment="1" applyProtection="1">
      <alignment vertical="center" wrapText="1"/>
    </xf>
    <xf numFmtId="0" fontId="30" fillId="13" borderId="39" xfId="0" applyFont="1" applyFill="1" applyBorder="1" applyAlignment="1" applyProtection="1">
      <alignment vertical="center" wrapText="1"/>
    </xf>
    <xf numFmtId="0" fontId="30" fillId="13" borderId="40" xfId="0" applyFont="1" applyFill="1" applyBorder="1" applyAlignment="1" applyProtection="1">
      <alignment vertical="center" wrapText="1"/>
    </xf>
    <xf numFmtId="0" fontId="15" fillId="7" borderId="0" xfId="0" applyFont="1" applyFill="1" applyBorder="1" applyAlignment="1" applyProtection="1">
      <alignment vertical="center" wrapText="1"/>
    </xf>
    <xf numFmtId="0" fontId="25" fillId="7" borderId="0" xfId="0" applyFont="1" applyFill="1" applyBorder="1" applyAlignment="1" applyProtection="1"/>
    <xf numFmtId="0" fontId="15" fillId="7" borderId="0" xfId="0" applyFont="1" applyFill="1" applyBorder="1" applyAlignment="1" applyProtection="1">
      <alignment vertical="center"/>
    </xf>
    <xf numFmtId="9" fontId="15" fillId="7" borderId="0" xfId="0" applyNumberFormat="1" applyFont="1" applyFill="1" applyBorder="1" applyAlignment="1" applyProtection="1">
      <alignment vertical="center"/>
    </xf>
    <xf numFmtId="0" fontId="15" fillId="7" borderId="0" xfId="0" applyFont="1" applyFill="1" applyBorder="1" applyAlignment="1" applyProtection="1">
      <alignment horizontal="right" vertical="center"/>
    </xf>
    <xf numFmtId="0" fontId="14" fillId="15" borderId="68" xfId="0" applyFont="1" applyFill="1" applyBorder="1" applyAlignment="1" applyProtection="1">
      <alignment vertical="center"/>
    </xf>
    <xf numFmtId="0" fontId="45" fillId="15" borderId="35" xfId="0" applyFont="1" applyFill="1" applyBorder="1" applyAlignment="1" applyProtection="1">
      <alignment horizontal="center" vertical="center"/>
    </xf>
    <xf numFmtId="0" fontId="29" fillId="15" borderId="35" xfId="0" applyFont="1" applyFill="1" applyBorder="1" applyAlignment="1" applyProtection="1">
      <alignment horizontal="center" vertical="center"/>
    </xf>
    <xf numFmtId="0" fontId="29" fillId="15" borderId="69" xfId="0" applyFont="1" applyFill="1" applyBorder="1" applyAlignment="1" applyProtection="1">
      <alignment horizontal="center" vertical="center"/>
    </xf>
    <xf numFmtId="0" fontId="46" fillId="15" borderId="50" xfId="0" applyFont="1" applyFill="1" applyBorder="1" applyAlignment="1" applyProtection="1">
      <alignment vertical="center"/>
    </xf>
    <xf numFmtId="0" fontId="46" fillId="15" borderId="146" xfId="0" applyFont="1" applyFill="1" applyBorder="1" applyAlignment="1" applyProtection="1">
      <alignment vertical="center"/>
    </xf>
    <xf numFmtId="0" fontId="30" fillId="13" borderId="147" xfId="0" applyFont="1" applyFill="1" applyBorder="1" applyAlignment="1" applyProtection="1">
      <alignment vertical="center" wrapText="1"/>
    </xf>
    <xf numFmtId="0" fontId="46" fillId="15" borderId="145" xfId="0" applyFont="1" applyFill="1" applyBorder="1" applyAlignment="1" applyProtection="1">
      <alignment vertical="center"/>
    </xf>
    <xf numFmtId="0" fontId="46" fillId="15" borderId="0" xfId="0" applyFont="1" applyFill="1" applyBorder="1" applyAlignment="1" applyProtection="1">
      <alignment vertical="center"/>
    </xf>
    <xf numFmtId="0" fontId="46" fillId="15" borderId="144" xfId="0" applyFont="1" applyFill="1" applyBorder="1" applyAlignment="1" applyProtection="1">
      <alignment vertical="center"/>
    </xf>
    <xf numFmtId="0" fontId="46" fillId="15" borderId="148" xfId="0" applyFont="1" applyFill="1" applyBorder="1" applyAlignment="1" applyProtection="1">
      <alignment vertical="center"/>
    </xf>
    <xf numFmtId="0" fontId="30" fillId="15" borderId="37" xfId="0" applyFont="1" applyFill="1" applyBorder="1" applyAlignment="1" applyProtection="1">
      <alignment vertical="center" wrapText="1"/>
    </xf>
    <xf numFmtId="0" fontId="21" fillId="9" borderId="0" xfId="0" applyFont="1" applyFill="1" applyProtection="1"/>
    <xf numFmtId="0" fontId="46" fillId="15" borderId="143" xfId="0" applyFont="1" applyFill="1" applyBorder="1" applyAlignment="1" applyProtection="1">
      <alignment vertical="center"/>
    </xf>
    <xf numFmtId="0" fontId="46" fillId="15" borderId="139" xfId="0" applyFont="1" applyFill="1" applyBorder="1" applyAlignment="1" applyProtection="1">
      <alignment vertical="center"/>
    </xf>
    <xf numFmtId="0" fontId="30" fillId="15" borderId="76" xfId="0" applyFont="1" applyFill="1" applyBorder="1" applyAlignment="1" applyProtection="1">
      <alignment vertical="center" wrapText="1"/>
    </xf>
    <xf numFmtId="0" fontId="14" fillId="7" borderId="0" xfId="0" applyFont="1" applyFill="1" applyBorder="1" applyAlignment="1" applyProtection="1">
      <alignment vertical="center"/>
    </xf>
    <xf numFmtId="0" fontId="26" fillId="7" borderId="0" xfId="0" applyFont="1" applyFill="1" applyBorder="1" applyAlignment="1" applyProtection="1">
      <alignment vertical="center" wrapText="1"/>
    </xf>
    <xf numFmtId="0" fontId="25" fillId="7" borderId="0" xfId="0" applyFont="1" applyFill="1" applyBorder="1" applyAlignment="1" applyProtection="1">
      <alignment vertical="center" wrapText="1"/>
    </xf>
    <xf numFmtId="0" fontId="29" fillId="13" borderId="3" xfId="0" applyFont="1" applyFill="1" applyBorder="1" applyAlignment="1" applyProtection="1">
      <alignment vertical="center"/>
    </xf>
    <xf numFmtId="0" fontId="30" fillId="13" borderId="4" xfId="0" applyFont="1" applyFill="1" applyBorder="1" applyAlignment="1" applyProtection="1">
      <alignment vertical="center"/>
    </xf>
    <xf numFmtId="165" fontId="30" fillId="13" borderId="4" xfId="0" applyNumberFormat="1" applyFont="1" applyFill="1" applyBorder="1" applyAlignment="1" applyProtection="1">
      <alignment vertical="center"/>
    </xf>
    <xf numFmtId="0" fontId="30" fillId="13" borderId="5" xfId="0" applyFont="1" applyFill="1" applyBorder="1" applyAlignment="1" applyProtection="1">
      <alignment vertical="center"/>
    </xf>
    <xf numFmtId="3" fontId="30" fillId="13" borderId="108" xfId="0" applyNumberFormat="1" applyFont="1" applyFill="1" applyBorder="1" applyAlignment="1" applyProtection="1">
      <alignment vertical="center"/>
    </xf>
    <xf numFmtId="0" fontId="30" fillId="13" borderId="109" xfId="0" applyFont="1" applyFill="1" applyBorder="1" applyAlignment="1" applyProtection="1">
      <alignment vertical="center"/>
    </xf>
    <xf numFmtId="3" fontId="30" fillId="13" borderId="8" xfId="0" applyNumberFormat="1" applyFont="1" applyFill="1" applyBorder="1" applyAlignment="1" applyProtection="1">
      <alignment vertical="center"/>
    </xf>
    <xf numFmtId="0" fontId="30" fillId="13" borderId="9" xfId="0" applyFont="1" applyFill="1" applyBorder="1" applyAlignment="1" applyProtection="1">
      <alignment vertical="center"/>
    </xf>
    <xf numFmtId="3" fontId="15" fillId="9" borderId="0" xfId="0" applyNumberFormat="1" applyFont="1" applyFill="1" applyProtection="1"/>
    <xf numFmtId="3" fontId="30" fillId="13" borderId="4" xfId="0" applyNumberFormat="1" applyFont="1" applyFill="1" applyBorder="1" applyAlignment="1" applyProtection="1">
      <alignment vertical="center"/>
    </xf>
    <xf numFmtId="3" fontId="30" fillId="13" borderId="5" xfId="0" applyNumberFormat="1" applyFont="1" applyFill="1" applyBorder="1" applyAlignment="1" applyProtection="1">
      <alignment vertical="center"/>
    </xf>
    <xf numFmtId="3" fontId="30" fillId="13" borderId="48" xfId="0" applyNumberFormat="1" applyFont="1" applyFill="1" applyBorder="1" applyAlignment="1" applyProtection="1">
      <alignment vertical="center"/>
    </xf>
    <xf numFmtId="0" fontId="30" fillId="13" borderId="104" xfId="0" applyFont="1" applyFill="1" applyBorder="1" applyAlignment="1" applyProtection="1">
      <alignment vertical="center"/>
    </xf>
    <xf numFmtId="0" fontId="29" fillId="13" borderId="50" xfId="0" applyFont="1" applyFill="1" applyBorder="1" applyAlignment="1" applyProtection="1">
      <alignment vertical="center" wrapText="1"/>
    </xf>
    <xf numFmtId="0" fontId="30" fillId="13" borderId="0" xfId="0" applyFont="1" applyFill="1" applyBorder="1" applyAlignment="1" applyProtection="1">
      <alignment vertical="center"/>
    </xf>
    <xf numFmtId="3" fontId="30" fillId="13" borderId="0" xfId="0" applyNumberFormat="1" applyFont="1" applyFill="1" applyBorder="1" applyAlignment="1" applyProtection="1">
      <alignment vertical="center"/>
    </xf>
    <xf numFmtId="0" fontId="30" fillId="13" borderId="51" xfId="0" applyFont="1" applyFill="1" applyBorder="1" applyAlignment="1" applyProtection="1">
      <alignment vertical="center"/>
    </xf>
    <xf numFmtId="3" fontId="30" fillId="13" borderId="52" xfId="0" applyNumberFormat="1" applyFont="1" applyFill="1" applyBorder="1" applyAlignment="1" applyProtection="1">
      <alignment vertical="center"/>
    </xf>
    <xf numFmtId="0" fontId="30" fillId="13" borderId="53" xfId="0" applyFont="1" applyFill="1" applyBorder="1" applyAlignment="1" applyProtection="1">
      <alignment vertical="center"/>
    </xf>
    <xf numFmtId="164" fontId="15" fillId="7" borderId="0" xfId="0" applyNumberFormat="1" applyFont="1" applyFill="1" applyBorder="1" applyAlignment="1" applyProtection="1">
      <alignment vertical="center"/>
    </xf>
    <xf numFmtId="0" fontId="25" fillId="7" borderId="0" xfId="0" applyFont="1" applyFill="1" applyBorder="1" applyAlignment="1" applyProtection="1">
      <alignment vertical="center"/>
    </xf>
    <xf numFmtId="0" fontId="15" fillId="10" borderId="17" xfId="0" applyFont="1" applyFill="1" applyBorder="1" applyAlignment="1" applyProtection="1">
      <alignment vertical="center"/>
    </xf>
    <xf numFmtId="167" fontId="15" fillId="10" borderId="19" xfId="0" applyNumberFormat="1" applyFont="1" applyFill="1" applyBorder="1" applyAlignment="1" applyProtection="1">
      <alignment vertical="center"/>
    </xf>
    <xf numFmtId="0" fontId="15" fillId="10" borderId="18" xfId="0" applyFont="1" applyFill="1" applyBorder="1" applyAlignment="1" applyProtection="1">
      <alignment vertical="center"/>
    </xf>
    <xf numFmtId="0" fontId="32" fillId="7" borderId="0" xfId="0" applyFont="1" applyFill="1" applyBorder="1" applyAlignment="1" applyProtection="1">
      <alignment horizontal="right" vertical="top"/>
    </xf>
    <xf numFmtId="0" fontId="27" fillId="7" borderId="0" xfId="0" applyFont="1" applyFill="1" applyBorder="1" applyProtection="1"/>
    <xf numFmtId="0" fontId="28" fillId="7" borderId="0" xfId="0" applyFont="1" applyFill="1" applyBorder="1" applyProtection="1"/>
    <xf numFmtId="0" fontId="28" fillId="7" borderId="0" xfId="0" quotePrefix="1" applyFont="1" applyFill="1" applyBorder="1" applyProtection="1"/>
    <xf numFmtId="0" fontId="31" fillId="7" borderId="0" xfId="0" applyFont="1" applyFill="1" applyBorder="1" applyProtection="1"/>
    <xf numFmtId="0" fontId="28" fillId="7" borderId="0" xfId="0" applyFont="1" applyFill="1" applyBorder="1" applyAlignment="1" applyProtection="1">
      <alignment horizontal="justify" vertical="top" wrapText="1"/>
    </xf>
    <xf numFmtId="0" fontId="28" fillId="7" borderId="0" xfId="0" applyFont="1" applyFill="1" applyBorder="1" applyAlignment="1" applyProtection="1">
      <alignment vertical="top"/>
    </xf>
    <xf numFmtId="0" fontId="28" fillId="7" borderId="0" xfId="0" applyFont="1" applyFill="1" applyBorder="1" applyAlignment="1" applyProtection="1"/>
    <xf numFmtId="165" fontId="28" fillId="7" borderId="0" xfId="0" applyNumberFormat="1" applyFont="1" applyFill="1" applyBorder="1" applyProtection="1"/>
    <xf numFmtId="0" fontId="15" fillId="7" borderId="6" xfId="0" applyFont="1" applyFill="1" applyBorder="1" applyProtection="1"/>
    <xf numFmtId="0" fontId="15" fillId="9" borderId="0" xfId="0" applyFont="1" applyFill="1" applyAlignment="1" applyProtection="1"/>
    <xf numFmtId="0" fontId="22" fillId="7" borderId="7" xfId="0" applyFont="1" applyFill="1" applyBorder="1" applyProtection="1"/>
    <xf numFmtId="0" fontId="15" fillId="7" borderId="8" xfId="0" applyFont="1" applyFill="1" applyBorder="1" applyProtection="1"/>
    <xf numFmtId="0" fontId="15" fillId="7" borderId="9" xfId="0" applyFont="1" applyFill="1" applyBorder="1" applyProtection="1"/>
    <xf numFmtId="3" fontId="30" fillId="14" borderId="42" xfId="0" applyNumberFormat="1" applyFont="1" applyFill="1" applyBorder="1" applyAlignment="1" applyProtection="1">
      <alignment horizontal="center" vertical="center" wrapText="1"/>
      <protection locked="0"/>
    </xf>
    <xf numFmtId="164" fontId="30" fillId="14" borderId="31" xfId="0" applyNumberFormat="1" applyFont="1" applyFill="1" applyBorder="1" applyAlignment="1" applyProtection="1">
      <alignment horizontal="center" vertical="center" wrapText="1"/>
      <protection locked="0"/>
    </xf>
    <xf numFmtId="3" fontId="30" fillId="14" borderId="31" xfId="0" applyNumberFormat="1" applyFont="1" applyFill="1" applyBorder="1" applyAlignment="1" applyProtection="1">
      <alignment horizontal="center" vertical="center" wrapText="1"/>
      <protection locked="0"/>
    </xf>
    <xf numFmtId="0" fontId="29" fillId="13" borderId="51" xfId="0" applyFont="1" applyFill="1" applyBorder="1" applyAlignment="1" applyProtection="1">
      <alignment horizontal="center" vertical="center"/>
    </xf>
    <xf numFmtId="0" fontId="30" fillId="13" borderId="30" xfId="0" applyFont="1" applyFill="1" applyBorder="1" applyAlignment="1" applyProtection="1">
      <alignment vertical="center" wrapText="1"/>
    </xf>
    <xf numFmtId="0" fontId="30" fillId="13" borderId="92" xfId="0" applyFont="1" applyFill="1" applyBorder="1" applyAlignment="1" applyProtection="1">
      <alignment horizontal="left" vertical="center" wrapText="1"/>
    </xf>
    <xf numFmtId="3" fontId="34" fillId="13" borderId="30" xfId="0" applyNumberFormat="1" applyFont="1" applyFill="1" applyBorder="1" applyAlignment="1" applyProtection="1">
      <alignment horizontal="center" vertical="center" wrapText="1"/>
    </xf>
    <xf numFmtId="0" fontId="30" fillId="13" borderId="110" xfId="0" applyFont="1" applyFill="1" applyBorder="1" applyAlignment="1" applyProtection="1">
      <alignment vertical="center" wrapText="1"/>
    </xf>
    <xf numFmtId="0" fontId="30" fillId="13" borderId="111" xfId="0" applyFont="1" applyFill="1" applyBorder="1" applyAlignment="1" applyProtection="1">
      <alignment vertical="center"/>
    </xf>
    <xf numFmtId="0" fontId="30" fillId="13" borderId="112" xfId="0" applyFont="1" applyFill="1" applyBorder="1" applyAlignment="1" applyProtection="1">
      <alignment vertical="center" wrapText="1"/>
    </xf>
    <xf numFmtId="0" fontId="30" fillId="13" borderId="113" xfId="0" applyFont="1" applyFill="1" applyBorder="1" applyAlignment="1" applyProtection="1">
      <alignment vertical="center" wrapText="1"/>
    </xf>
    <xf numFmtId="0" fontId="30" fillId="13" borderId="114" xfId="0" applyFont="1" applyFill="1" applyBorder="1" applyAlignment="1" applyProtection="1">
      <alignment vertical="center" wrapText="1"/>
    </xf>
    <xf numFmtId="0" fontId="30" fillId="13" borderId="115" xfId="0" applyFont="1" applyFill="1" applyBorder="1" applyAlignment="1" applyProtection="1">
      <alignment vertical="center" wrapText="1"/>
    </xf>
    <xf numFmtId="0" fontId="46" fillId="15" borderId="71" xfId="0" applyFont="1" applyFill="1" applyBorder="1" applyAlignment="1" applyProtection="1">
      <alignment vertical="center"/>
    </xf>
    <xf numFmtId="0" fontId="30" fillId="13" borderId="74" xfId="0" applyFont="1" applyFill="1" applyBorder="1" applyAlignment="1" applyProtection="1">
      <alignment vertical="center" wrapText="1"/>
    </xf>
    <xf numFmtId="0" fontId="46" fillId="15" borderId="70" xfId="0" applyFont="1" applyFill="1" applyBorder="1" applyAlignment="1" applyProtection="1">
      <alignment vertical="center"/>
    </xf>
    <xf numFmtId="0" fontId="46" fillId="15" borderId="72" xfId="0" applyFont="1" applyFill="1" applyBorder="1" applyAlignment="1" applyProtection="1">
      <alignment vertical="center"/>
    </xf>
    <xf numFmtId="0" fontId="46" fillId="15" borderId="93" xfId="0" applyFont="1" applyFill="1" applyBorder="1" applyAlignment="1" applyProtection="1">
      <alignment vertical="center"/>
    </xf>
    <xf numFmtId="0" fontId="46" fillId="15" borderId="73" xfId="0" applyFont="1" applyFill="1" applyBorder="1" applyAlignment="1" applyProtection="1">
      <alignment vertical="center"/>
    </xf>
    <xf numFmtId="3" fontId="30" fillId="13" borderId="48" xfId="0" applyNumberFormat="1" applyFont="1" applyFill="1" applyBorder="1" applyAlignment="1" applyProtection="1">
      <alignment vertical="center" wrapText="1"/>
    </xf>
    <xf numFmtId="0" fontId="30" fillId="13" borderId="52" xfId="0" applyFont="1" applyFill="1" applyBorder="1" applyAlignment="1" applyProtection="1">
      <alignment vertical="center"/>
    </xf>
    <xf numFmtId="164" fontId="30" fillId="14" borderId="42" xfId="0" applyNumberFormat="1" applyFont="1" applyFill="1" applyBorder="1" applyAlignment="1" applyProtection="1">
      <alignment horizontal="center" vertical="center" wrapText="1"/>
      <protection locked="0"/>
    </xf>
    <xf numFmtId="0" fontId="46" fillId="14" borderId="2" xfId="0" applyFont="1" applyFill="1" applyBorder="1" applyAlignment="1" applyProtection="1">
      <alignment horizontal="center" vertical="center"/>
      <protection locked="0"/>
    </xf>
    <xf numFmtId="0" fontId="0" fillId="9" borderId="0" xfId="0" applyFill="1" applyProtection="1"/>
    <xf numFmtId="0" fontId="29" fillId="13" borderId="35" xfId="0" applyFont="1" applyFill="1" applyBorder="1" applyAlignment="1" applyProtection="1">
      <alignment horizontal="center" vertical="center"/>
    </xf>
    <xf numFmtId="0" fontId="30" fillId="13" borderId="79" xfId="0" applyFont="1" applyFill="1" applyBorder="1" applyAlignment="1" applyProtection="1">
      <alignment vertical="center" wrapText="1"/>
    </xf>
    <xf numFmtId="0" fontId="30" fillId="13" borderId="153" xfId="0" applyFont="1" applyFill="1" applyBorder="1" applyAlignment="1" applyProtection="1">
      <alignment vertical="center" wrapText="1"/>
    </xf>
    <xf numFmtId="0" fontId="30" fillId="13" borderId="84" xfId="0" applyFont="1" applyFill="1" applyBorder="1" applyAlignment="1" applyProtection="1">
      <alignment vertical="center" wrapText="1"/>
    </xf>
    <xf numFmtId="0" fontId="30" fillId="13" borderId="151" xfId="0" applyFont="1" applyFill="1" applyBorder="1" applyAlignment="1" applyProtection="1">
      <alignment vertical="center" wrapText="1"/>
    </xf>
    <xf numFmtId="0" fontId="30" fillId="13" borderId="85" xfId="0" applyFont="1" applyFill="1" applyBorder="1" applyAlignment="1" applyProtection="1">
      <alignment vertical="center" wrapText="1"/>
    </xf>
    <xf numFmtId="0" fontId="30" fillId="13" borderId="155" xfId="0" applyFont="1" applyFill="1" applyBorder="1" applyAlignment="1" applyProtection="1">
      <alignment horizontal="left" vertical="center" wrapText="1"/>
    </xf>
    <xf numFmtId="0" fontId="30" fillId="13" borderId="149" xfId="0" applyFont="1" applyFill="1" applyBorder="1" applyAlignment="1" applyProtection="1">
      <alignment vertical="center" wrapText="1"/>
    </xf>
    <xf numFmtId="0" fontId="30" fillId="13" borderId="150" xfId="0" applyFont="1" applyFill="1" applyBorder="1" applyAlignment="1" applyProtection="1">
      <alignment vertical="center" wrapText="1"/>
    </xf>
    <xf numFmtId="0" fontId="46" fillId="15" borderId="132" xfId="0" applyFont="1" applyFill="1" applyBorder="1" applyAlignment="1" applyProtection="1">
      <alignment vertical="center"/>
    </xf>
    <xf numFmtId="3" fontId="30" fillId="13" borderId="88" xfId="0" applyNumberFormat="1" applyFont="1" applyFill="1" applyBorder="1" applyAlignment="1" applyProtection="1">
      <alignment vertical="center"/>
    </xf>
    <xf numFmtId="0" fontId="30" fillId="13" borderId="116" xfId="0" applyFont="1" applyFill="1" applyBorder="1" applyAlignment="1" applyProtection="1">
      <alignment vertical="center"/>
    </xf>
    <xf numFmtId="3" fontId="30" fillId="13" borderId="126" xfId="0" applyNumberFormat="1" applyFont="1" applyFill="1" applyBorder="1" applyAlignment="1" applyProtection="1">
      <alignment vertical="center"/>
    </xf>
    <xf numFmtId="0" fontId="30" fillId="13" borderId="1" xfId="0" applyFont="1" applyFill="1" applyBorder="1" applyAlignment="1" applyProtection="1">
      <alignment vertical="center"/>
    </xf>
    <xf numFmtId="0" fontId="30" fillId="13" borderId="7" xfId="0" applyFont="1" applyFill="1" applyBorder="1" applyAlignment="1" applyProtection="1">
      <alignment horizontal="left" vertical="center"/>
    </xf>
    <xf numFmtId="0" fontId="30" fillId="13" borderId="8" xfId="0" applyFont="1" applyFill="1" applyBorder="1" applyAlignment="1" applyProtection="1">
      <alignment vertical="center"/>
    </xf>
    <xf numFmtId="4" fontId="30" fillId="13" borderId="8" xfId="0" applyNumberFormat="1" applyFont="1" applyFill="1" applyBorder="1" applyAlignment="1" applyProtection="1">
      <alignment vertical="center"/>
    </xf>
    <xf numFmtId="0" fontId="30" fillId="13" borderId="117" xfId="0" applyFont="1" applyFill="1" applyBorder="1" applyAlignment="1" applyProtection="1">
      <alignment vertical="center"/>
    </xf>
    <xf numFmtId="0" fontId="30" fillId="13" borderId="127" xfId="0" applyFont="1" applyFill="1" applyBorder="1" applyAlignment="1" applyProtection="1">
      <alignment vertical="center"/>
    </xf>
    <xf numFmtId="0" fontId="30" fillId="13" borderId="7" xfId="0" applyFont="1" applyFill="1" applyBorder="1" applyAlignment="1" applyProtection="1">
      <alignment vertical="center"/>
    </xf>
    <xf numFmtId="0" fontId="48" fillId="7" borderId="1" xfId="0" applyFont="1" applyFill="1" applyBorder="1" applyProtection="1"/>
    <xf numFmtId="0" fontId="29" fillId="13" borderId="3" xfId="0" applyFont="1" applyFill="1" applyBorder="1" applyAlignment="1" applyProtection="1">
      <alignment vertical="center" wrapText="1"/>
    </xf>
    <xf numFmtId="4" fontId="30" fillId="13" borderId="0" xfId="0" applyNumberFormat="1" applyFont="1" applyFill="1" applyBorder="1" applyAlignment="1" applyProtection="1">
      <alignment vertical="center"/>
    </xf>
    <xf numFmtId="4" fontId="30" fillId="13" borderId="119" xfId="0" applyNumberFormat="1" applyFont="1" applyFill="1" applyBorder="1" applyAlignment="1" applyProtection="1">
      <alignment vertical="center"/>
    </xf>
    <xf numFmtId="164" fontId="30" fillId="14" borderId="85" xfId="0" applyNumberFormat="1" applyFont="1" applyFill="1" applyBorder="1" applyAlignment="1" applyProtection="1">
      <alignment horizontal="center" vertical="center" wrapText="1"/>
      <protection locked="0"/>
    </xf>
    <xf numFmtId="164" fontId="30" fillId="14" borderId="152" xfId="0" applyNumberFormat="1" applyFont="1" applyFill="1" applyBorder="1" applyAlignment="1" applyProtection="1">
      <alignment horizontal="center" vertical="center" wrapText="1"/>
      <protection locked="0"/>
    </xf>
    <xf numFmtId="0" fontId="30" fillId="13" borderId="83" xfId="0" applyFont="1" applyFill="1" applyBorder="1" applyAlignment="1" applyProtection="1">
      <alignment vertical="center" wrapText="1"/>
    </xf>
    <xf numFmtId="0" fontId="46" fillId="15" borderId="75" xfId="0" applyFont="1" applyFill="1" applyBorder="1" applyAlignment="1" applyProtection="1">
      <alignment vertical="center"/>
    </xf>
    <xf numFmtId="165" fontId="30" fillId="13" borderId="8" xfId="0" applyNumberFormat="1" applyFont="1" applyFill="1" applyBorder="1" applyAlignment="1" applyProtection="1">
      <alignment vertical="center"/>
    </xf>
    <xf numFmtId="165" fontId="30" fillId="13" borderId="88" xfId="0" applyNumberFormat="1" applyFont="1" applyFill="1" applyBorder="1" applyAlignment="1" applyProtection="1">
      <alignment vertical="center"/>
    </xf>
    <xf numFmtId="0" fontId="29" fillId="13" borderId="86" xfId="0" applyFont="1" applyFill="1" applyBorder="1" applyAlignment="1" applyProtection="1">
      <alignment horizontal="center" vertical="center"/>
    </xf>
    <xf numFmtId="0" fontId="15" fillId="15" borderId="51" xfId="0" applyFont="1" applyFill="1" applyBorder="1" applyAlignment="1" applyProtection="1">
      <alignment horizontal="left" vertical="center"/>
    </xf>
    <xf numFmtId="165" fontId="30" fillId="13" borderId="119" xfId="0" applyNumberFormat="1" applyFont="1" applyFill="1" applyBorder="1" applyAlignment="1" applyProtection="1">
      <alignment vertical="center"/>
    </xf>
    <xf numFmtId="0" fontId="30" fillId="13" borderId="119" xfId="0" applyFont="1" applyFill="1" applyBorder="1" applyAlignment="1" applyProtection="1">
      <alignment vertical="center"/>
    </xf>
    <xf numFmtId="0" fontId="0" fillId="0" borderId="0" xfId="0" applyProtection="1"/>
    <xf numFmtId="0" fontId="30" fillId="14" borderId="20" xfId="0" applyFont="1" applyFill="1" applyBorder="1" applyAlignment="1" applyProtection="1">
      <alignment horizontal="center" vertical="center"/>
      <protection locked="0"/>
    </xf>
    <xf numFmtId="0" fontId="30" fillId="14" borderId="2" xfId="0" applyFont="1" applyFill="1" applyBorder="1" applyAlignment="1" applyProtection="1">
      <alignment horizontal="center" vertical="center"/>
      <protection locked="0"/>
    </xf>
    <xf numFmtId="165" fontId="30" fillId="13" borderId="0" xfId="0" applyNumberFormat="1" applyFont="1" applyFill="1" applyBorder="1" applyAlignment="1" applyProtection="1">
      <alignment vertical="center"/>
    </xf>
    <xf numFmtId="0" fontId="0" fillId="9" borderId="0" xfId="0" applyFill="1" applyBorder="1" applyProtection="1"/>
    <xf numFmtId="0" fontId="46" fillId="13" borderId="89" xfId="0" applyFont="1" applyFill="1" applyBorder="1" applyAlignment="1" applyProtection="1">
      <alignment vertical="center"/>
    </xf>
    <xf numFmtId="0" fontId="46" fillId="13" borderId="93" xfId="0" applyFont="1" applyFill="1" applyBorder="1" applyAlignment="1" applyProtection="1">
      <alignment vertical="center"/>
    </xf>
    <xf numFmtId="0" fontId="37" fillId="11" borderId="10" xfId="0" applyFont="1" applyFill="1" applyBorder="1" applyProtection="1"/>
    <xf numFmtId="0" fontId="37" fillId="11" borderId="11" xfId="0" applyFont="1" applyFill="1" applyBorder="1" applyProtection="1"/>
    <xf numFmtId="0" fontId="37" fillId="11" borderId="12" xfId="0" applyFont="1" applyFill="1" applyBorder="1" applyProtection="1"/>
    <xf numFmtId="0" fontId="37" fillId="11" borderId="25" xfId="0" applyFont="1" applyFill="1" applyBorder="1" applyProtection="1"/>
    <xf numFmtId="0" fontId="37" fillId="11" borderId="16" xfId="0" applyFont="1" applyFill="1" applyBorder="1" applyProtection="1"/>
    <xf numFmtId="0" fontId="37" fillId="11" borderId="15" xfId="0" applyFont="1" applyFill="1" applyBorder="1" applyProtection="1"/>
    <xf numFmtId="0" fontId="30" fillId="13" borderId="118" xfId="0" applyFont="1" applyFill="1" applyBorder="1" applyAlignment="1" applyProtection="1">
      <alignment horizontal="left" vertical="center"/>
    </xf>
    <xf numFmtId="3" fontId="30" fillId="13" borderId="72" xfId="0" applyNumberFormat="1" applyFont="1" applyFill="1" applyBorder="1" applyAlignment="1" applyProtection="1">
      <alignment vertical="center"/>
    </xf>
    <xf numFmtId="1" fontId="15" fillId="10" borderId="19" xfId="0" applyNumberFormat="1" applyFont="1" applyFill="1" applyBorder="1" applyAlignment="1" applyProtection="1">
      <alignment vertical="center"/>
    </xf>
    <xf numFmtId="0" fontId="30" fillId="13" borderId="50" xfId="0" applyFont="1" applyFill="1" applyBorder="1" applyAlignment="1" applyProtection="1">
      <alignment vertical="center"/>
    </xf>
    <xf numFmtId="0" fontId="30" fillId="13" borderId="0" xfId="0" applyFont="1" applyFill="1" applyBorder="1" applyAlignment="1" applyProtection="1">
      <alignment horizontal="left" vertical="center"/>
    </xf>
    <xf numFmtId="0" fontId="30" fillId="13" borderId="90" xfId="0" applyFont="1" applyFill="1" applyBorder="1" applyAlignment="1" applyProtection="1">
      <alignment vertical="center"/>
    </xf>
    <xf numFmtId="0" fontId="30" fillId="13" borderId="91" xfId="0" applyFont="1" applyFill="1" applyBorder="1" applyAlignment="1" applyProtection="1">
      <alignment horizontal="left" vertical="center"/>
    </xf>
    <xf numFmtId="0" fontId="30" fillId="13" borderId="90" xfId="0" applyFont="1" applyFill="1" applyBorder="1" applyAlignment="1" applyProtection="1">
      <alignment vertical="center" wrapText="1"/>
    </xf>
    <xf numFmtId="0" fontId="30" fillId="13" borderId="91" xfId="0" applyFont="1" applyFill="1" applyBorder="1" applyAlignment="1" applyProtection="1">
      <alignment vertical="center" wrapText="1"/>
    </xf>
    <xf numFmtId="0" fontId="30" fillId="13" borderId="87" xfId="0" applyFont="1" applyFill="1" applyBorder="1" applyAlignment="1" applyProtection="1">
      <alignment vertical="center" wrapText="1"/>
    </xf>
    <xf numFmtId="0" fontId="30" fillId="13" borderId="52" xfId="0" applyFont="1" applyFill="1" applyBorder="1" applyAlignment="1" applyProtection="1">
      <alignment vertical="center" wrapText="1"/>
    </xf>
    <xf numFmtId="0" fontId="30" fillId="13" borderId="53" xfId="0" applyFont="1" applyFill="1" applyBorder="1" applyAlignment="1" applyProtection="1">
      <alignment vertical="center" wrapText="1"/>
    </xf>
    <xf numFmtId="0" fontId="49" fillId="9" borderId="0" xfId="2" applyFont="1" applyFill="1" applyProtection="1"/>
    <xf numFmtId="0" fontId="30" fillId="13" borderId="37" xfId="0" applyFont="1" applyFill="1" applyBorder="1" applyAlignment="1" applyProtection="1">
      <alignment horizontal="left" vertical="center" wrapText="1"/>
    </xf>
    <xf numFmtId="0" fontId="30" fillId="13" borderId="88" xfId="0" applyFont="1" applyFill="1" applyBorder="1" applyAlignment="1" applyProtection="1">
      <alignment vertical="center" wrapText="1"/>
    </xf>
    <xf numFmtId="0" fontId="30" fillId="13" borderId="92" xfId="0" applyFont="1" applyFill="1" applyBorder="1" applyAlignment="1" applyProtection="1">
      <alignment vertical="center"/>
    </xf>
    <xf numFmtId="4" fontId="30" fillId="13" borderId="52" xfId="0" applyNumberFormat="1" applyFont="1" applyFill="1" applyBorder="1" applyAlignment="1" applyProtection="1">
      <alignment vertical="center"/>
    </xf>
    <xf numFmtId="2" fontId="15" fillId="7" borderId="23" xfId="0" applyNumberFormat="1" applyFont="1" applyFill="1" applyBorder="1" applyAlignment="1">
      <alignment horizontal="right"/>
    </xf>
    <xf numFmtId="2" fontId="15" fillId="7" borderId="59" xfId="0" applyNumberFormat="1" applyFont="1" applyFill="1" applyBorder="1" applyAlignment="1">
      <alignment horizontal="right"/>
    </xf>
    <xf numFmtId="9" fontId="30" fillId="14" borderId="2" xfId="3" applyFont="1" applyFill="1" applyBorder="1" applyAlignment="1" applyProtection="1">
      <alignment horizontal="center" vertical="center" wrapText="1"/>
      <protection locked="0"/>
    </xf>
    <xf numFmtId="0" fontId="30" fillId="13" borderId="126" xfId="0" applyFont="1" applyFill="1" applyBorder="1" applyAlignment="1" applyProtection="1">
      <alignment vertical="center" wrapText="1"/>
    </xf>
    <xf numFmtId="3" fontId="30" fillId="14" borderId="152" xfId="0" applyNumberFormat="1" applyFont="1" applyFill="1" applyBorder="1" applyAlignment="1" applyProtection="1">
      <alignment horizontal="center" vertical="center" wrapText="1"/>
      <protection locked="0"/>
    </xf>
    <xf numFmtId="3" fontId="30" fillId="14" borderId="2" xfId="0" applyNumberFormat="1" applyFont="1" applyFill="1" applyBorder="1" applyAlignment="1" applyProtection="1">
      <alignment horizontal="center" vertical="center" wrapText="1"/>
      <protection locked="0"/>
    </xf>
    <xf numFmtId="3" fontId="30" fillId="14" borderId="156" xfId="0" applyNumberFormat="1" applyFont="1" applyFill="1" applyBorder="1" applyAlignment="1" applyProtection="1">
      <alignment horizontal="center" vertical="center" wrapText="1"/>
      <protection locked="0"/>
    </xf>
    <xf numFmtId="0" fontId="29" fillId="13" borderId="158" xfId="0" applyFont="1" applyFill="1" applyBorder="1" applyAlignment="1" applyProtection="1">
      <alignment vertical="center"/>
    </xf>
    <xf numFmtId="0" fontId="29" fillId="13" borderId="94" xfId="0" applyFont="1" applyFill="1" applyBorder="1" applyAlignment="1" applyProtection="1">
      <alignment horizontal="center" vertical="center"/>
    </xf>
    <xf numFmtId="0" fontId="29" fillId="13" borderId="159" xfId="0" applyFont="1" applyFill="1" applyBorder="1" applyAlignment="1" applyProtection="1">
      <alignment horizontal="center" vertical="center"/>
    </xf>
    <xf numFmtId="0" fontId="29" fillId="13" borderId="160" xfId="0" applyFont="1" applyFill="1" applyBorder="1" applyAlignment="1" applyProtection="1">
      <alignment horizontal="center" vertical="center"/>
    </xf>
    <xf numFmtId="0" fontId="30" fillId="13" borderId="161" xfId="0" applyFont="1" applyFill="1" applyBorder="1" applyAlignment="1" applyProtection="1">
      <alignment vertical="center" wrapText="1"/>
    </xf>
    <xf numFmtId="0" fontId="30" fillId="13" borderId="162" xfId="0" applyFont="1" applyFill="1" applyBorder="1" applyAlignment="1" applyProtection="1">
      <alignment horizontal="left" vertical="center"/>
    </xf>
    <xf numFmtId="0" fontId="30" fillId="13" borderId="163" xfId="0" applyFont="1" applyFill="1" applyBorder="1" applyAlignment="1" applyProtection="1">
      <alignment vertical="center" wrapText="1"/>
    </xf>
    <xf numFmtId="0" fontId="30" fillId="13" borderId="125" xfId="0" applyFont="1" applyFill="1" applyBorder="1" applyAlignment="1" applyProtection="1">
      <alignment vertical="center" wrapText="1"/>
    </xf>
    <xf numFmtId="0" fontId="30" fillId="13" borderId="8" xfId="0" applyFont="1" applyFill="1" applyBorder="1" applyAlignment="1" applyProtection="1">
      <alignment vertical="center" wrapText="1"/>
    </xf>
    <xf numFmtId="0" fontId="30" fillId="13" borderId="9" xfId="0" applyFont="1" applyFill="1" applyBorder="1" applyAlignment="1" applyProtection="1">
      <alignment vertical="center" wrapText="1"/>
    </xf>
    <xf numFmtId="0" fontId="30" fillId="13" borderId="164" xfId="0" applyFont="1" applyFill="1" applyBorder="1" applyAlignment="1" applyProtection="1">
      <alignment vertical="center" wrapText="1"/>
    </xf>
    <xf numFmtId="0" fontId="30" fillId="13" borderId="165" xfId="0" applyFont="1" applyFill="1" applyBorder="1" applyAlignment="1" applyProtection="1">
      <alignment vertical="center" wrapText="1"/>
    </xf>
    <xf numFmtId="0" fontId="15" fillId="7" borderId="64" xfId="6" applyFont="1" applyFill="1" applyBorder="1" applyAlignment="1"/>
    <xf numFmtId="0" fontId="15" fillId="7" borderId="67" xfId="6" applyFont="1" applyFill="1" applyBorder="1" applyAlignment="1"/>
    <xf numFmtId="0" fontId="15" fillId="0" borderId="2" xfId="0" applyFont="1" applyBorder="1"/>
    <xf numFmtId="170" fontId="15" fillId="9" borderId="0" xfId="0" applyNumberFormat="1" applyFont="1" applyFill="1" applyProtection="1"/>
    <xf numFmtId="0" fontId="17" fillId="7" borderId="33" xfId="0" applyFont="1" applyFill="1" applyBorder="1" applyAlignment="1"/>
    <xf numFmtId="0" fontId="15" fillId="7" borderId="166" xfId="0" applyFont="1" applyFill="1" applyBorder="1" applyAlignment="1"/>
    <xf numFmtId="166" fontId="15" fillId="7" borderId="168" xfId="0" applyNumberFormat="1" applyFont="1" applyFill="1" applyBorder="1"/>
    <xf numFmtId="0" fontId="15" fillId="9" borderId="167" xfId="0" applyFont="1" applyFill="1" applyBorder="1"/>
    <xf numFmtId="166" fontId="15" fillId="7" borderId="0" xfId="0" applyNumberFormat="1" applyFont="1" applyFill="1" applyBorder="1"/>
    <xf numFmtId="166" fontId="15" fillId="7" borderId="167" xfId="0" applyNumberFormat="1" applyFont="1" applyFill="1" applyBorder="1"/>
    <xf numFmtId="166" fontId="15" fillId="7" borderId="99" xfId="0" applyNumberFormat="1" applyFont="1" applyFill="1" applyBorder="1"/>
    <xf numFmtId="166" fontId="15" fillId="0" borderId="66" xfId="0" applyNumberFormat="1" applyFont="1" applyBorder="1"/>
    <xf numFmtId="166" fontId="15" fillId="0" borderId="2" xfId="0" applyNumberFormat="1" applyFont="1" applyBorder="1"/>
    <xf numFmtId="167" fontId="1" fillId="7" borderId="23" xfId="5" applyNumberFormat="1" applyFont="1" applyFill="1" applyBorder="1"/>
    <xf numFmtId="167" fontId="1" fillId="7" borderId="59" xfId="5" applyNumberFormat="1" applyFont="1" applyFill="1" applyBorder="1"/>
    <xf numFmtId="2" fontId="15" fillId="9" borderId="0" xfId="0" applyNumberFormat="1" applyFont="1" applyFill="1" applyProtection="1"/>
    <xf numFmtId="0" fontId="17" fillId="7" borderId="26" xfId="0" applyFont="1" applyFill="1" applyBorder="1"/>
    <xf numFmtId="0" fontId="17" fillId="7" borderId="28" xfId="0" applyFont="1" applyFill="1" applyBorder="1" applyAlignment="1"/>
    <xf numFmtId="0" fontId="17" fillId="7" borderId="32" xfId="0" applyFont="1" applyFill="1" applyBorder="1"/>
    <xf numFmtId="0" fontId="17" fillId="0" borderId="27" xfId="6" applyFont="1" applyFill="1" applyBorder="1" applyAlignment="1"/>
    <xf numFmtId="0" fontId="17" fillId="0" borderId="28" xfId="6" applyFont="1" applyFill="1" applyBorder="1" applyAlignment="1"/>
    <xf numFmtId="171" fontId="15" fillId="7" borderId="23" xfId="0" applyNumberFormat="1" applyFont="1" applyFill="1" applyBorder="1" applyAlignment="1">
      <alignment horizontal="right"/>
    </xf>
    <xf numFmtId="171" fontId="15" fillId="7" borderId="59" xfId="0" applyNumberFormat="1" applyFont="1" applyFill="1" applyBorder="1" applyAlignment="1">
      <alignment horizontal="right"/>
    </xf>
    <xf numFmtId="0" fontId="54" fillId="13" borderId="164" xfId="0" applyFont="1" applyFill="1" applyBorder="1" applyAlignment="1" applyProtection="1">
      <alignment vertical="center" wrapText="1"/>
    </xf>
    <xf numFmtId="166" fontId="54" fillId="13" borderId="169" xfId="0" applyNumberFormat="1" applyFont="1" applyFill="1" applyBorder="1" applyAlignment="1" applyProtection="1">
      <alignment horizontal="center" vertical="center" wrapText="1"/>
    </xf>
    <xf numFmtId="0" fontId="54" fillId="13" borderId="88" xfId="0" applyFont="1" applyFill="1" applyBorder="1" applyAlignment="1" applyProtection="1">
      <alignment vertical="center" wrapText="1"/>
    </xf>
    <xf numFmtId="0" fontId="54" fillId="13" borderId="127" xfId="0" applyFont="1" applyFill="1" applyBorder="1" applyAlignment="1" applyProtection="1">
      <alignment vertical="center" wrapText="1"/>
    </xf>
    <xf numFmtId="0" fontId="30" fillId="13" borderId="127" xfId="0" applyFont="1" applyFill="1" applyBorder="1" applyAlignment="1" applyProtection="1">
      <alignment vertical="center" wrapText="1"/>
    </xf>
    <xf numFmtId="166" fontId="54" fillId="13" borderId="12" xfId="0" applyNumberFormat="1" applyFont="1" applyFill="1" applyBorder="1" applyAlignment="1" applyProtection="1">
      <alignment horizontal="center" vertical="center" wrapText="1"/>
    </xf>
    <xf numFmtId="166" fontId="54" fillId="13" borderId="24" xfId="0" applyNumberFormat="1" applyFont="1" applyFill="1" applyBorder="1" applyAlignment="1" applyProtection="1">
      <alignment horizontal="center" vertical="center" wrapText="1"/>
    </xf>
    <xf numFmtId="166" fontId="30" fillId="13" borderId="2" xfId="0" applyNumberFormat="1" applyFont="1" applyFill="1" applyBorder="1" applyAlignment="1" applyProtection="1">
      <alignment vertical="center" wrapText="1"/>
    </xf>
    <xf numFmtId="0" fontId="30" fillId="13" borderId="2" xfId="0" applyFont="1" applyFill="1" applyBorder="1" applyAlignment="1" applyProtection="1">
      <alignment vertical="center" wrapText="1"/>
    </xf>
    <xf numFmtId="170" fontId="30" fillId="13" borderId="66" xfId="0" applyNumberFormat="1" applyFont="1" applyFill="1" applyBorder="1" applyAlignment="1" applyProtection="1">
      <alignment vertical="center"/>
    </xf>
    <xf numFmtId="168" fontId="15" fillId="10" borderId="19" xfId="0" applyNumberFormat="1" applyFont="1" applyFill="1" applyBorder="1" applyAlignment="1" applyProtection="1">
      <alignment vertical="center"/>
    </xf>
    <xf numFmtId="0" fontId="37" fillId="11" borderId="20" xfId="0" applyFont="1" applyFill="1" applyBorder="1" applyProtection="1"/>
    <xf numFmtId="0" fontId="37" fillId="11" borderId="21" xfId="0" applyFont="1" applyFill="1" applyBorder="1" applyProtection="1"/>
    <xf numFmtId="0" fontId="37" fillId="11" borderId="22" xfId="0" applyFont="1" applyFill="1" applyBorder="1" applyProtection="1"/>
    <xf numFmtId="0" fontId="15" fillId="15" borderId="2" xfId="0" applyFont="1" applyFill="1" applyBorder="1" applyAlignment="1" applyProtection="1">
      <alignment vertical="top"/>
    </xf>
    <xf numFmtId="0" fontId="40" fillId="9" borderId="0" xfId="0" applyFont="1" applyFill="1" applyBorder="1" applyAlignment="1" applyProtection="1">
      <alignment vertical="top"/>
    </xf>
    <xf numFmtId="0" fontId="40" fillId="9" borderId="0" xfId="0" applyFont="1" applyFill="1" applyBorder="1" applyAlignment="1" applyProtection="1">
      <alignment horizontal="left" vertical="top"/>
    </xf>
    <xf numFmtId="168" fontId="42" fillId="9" borderId="0" xfId="0" applyNumberFormat="1" applyFont="1" applyFill="1" applyBorder="1" applyAlignment="1" applyProtection="1">
      <alignment horizontal="left" vertical="top"/>
    </xf>
    <xf numFmtId="168" fontId="40" fillId="9" borderId="0" xfId="0" applyNumberFormat="1" applyFont="1" applyFill="1" applyBorder="1" applyAlignment="1" applyProtection="1">
      <alignment horizontal="left" vertical="top"/>
    </xf>
    <xf numFmtId="9" fontId="30" fillId="14" borderId="2" xfId="3" applyFont="1" applyFill="1" applyBorder="1" applyAlignment="1" applyProtection="1">
      <alignment horizontal="left" vertical="top"/>
      <protection locked="0"/>
    </xf>
    <xf numFmtId="167" fontId="30" fillId="15" borderId="20" xfId="0" applyNumberFormat="1" applyFont="1" applyFill="1" applyBorder="1" applyAlignment="1" applyProtection="1">
      <alignment horizontal="left" vertical="top"/>
    </xf>
    <xf numFmtId="0" fontId="30" fillId="15" borderId="21" xfId="0" applyFont="1" applyFill="1" applyBorder="1" applyAlignment="1" applyProtection="1">
      <alignment horizontal="left" vertical="top"/>
    </xf>
    <xf numFmtId="0" fontId="30" fillId="15" borderId="22" xfId="0" applyFont="1" applyFill="1" applyBorder="1" applyAlignment="1" applyProtection="1">
      <alignment horizontal="left" vertical="top"/>
    </xf>
    <xf numFmtId="0" fontId="29" fillId="15" borderId="2" xfId="0" applyFont="1" applyFill="1" applyBorder="1" applyAlignment="1" applyProtection="1">
      <alignment vertical="top"/>
    </xf>
    <xf numFmtId="0" fontId="30" fillId="15" borderId="2" xfId="0" applyFont="1" applyFill="1" applyBorder="1" applyAlignment="1" applyProtection="1">
      <alignment vertical="top"/>
    </xf>
    <xf numFmtId="0" fontId="30" fillId="15" borderId="20" xfId="0" applyFont="1" applyFill="1" applyBorder="1" applyAlignment="1" applyProtection="1">
      <alignment horizontal="left" vertical="top"/>
    </xf>
    <xf numFmtId="0" fontId="30" fillId="14" borderId="20" xfId="0" applyFont="1" applyFill="1" applyBorder="1" applyAlignment="1" applyProtection="1">
      <alignment horizontal="left" vertical="top"/>
      <protection locked="0"/>
    </xf>
    <xf numFmtId="0" fontId="30" fillId="14" borderId="21" xfId="0" applyFont="1" applyFill="1" applyBorder="1" applyAlignment="1" applyProtection="1">
      <alignment horizontal="left" vertical="top"/>
      <protection locked="0"/>
    </xf>
    <xf numFmtId="0" fontId="30" fillId="14" borderId="22" xfId="0" applyFont="1" applyFill="1" applyBorder="1" applyAlignment="1" applyProtection="1">
      <alignment horizontal="left" vertical="top"/>
      <protection locked="0"/>
    </xf>
    <xf numFmtId="0" fontId="30" fillId="14" borderId="20" xfId="0" applyFont="1" applyFill="1" applyBorder="1" applyAlignment="1" applyProtection="1">
      <alignment horizontal="center" vertical="center"/>
      <protection locked="0"/>
    </xf>
    <xf numFmtId="0" fontId="30" fillId="14" borderId="22" xfId="0" applyFont="1" applyFill="1" applyBorder="1" applyAlignment="1" applyProtection="1">
      <alignment horizontal="center" vertical="center"/>
      <protection locked="0"/>
    </xf>
    <xf numFmtId="0" fontId="28" fillId="7" borderId="20" xfId="0" applyFont="1" applyFill="1" applyBorder="1" applyAlignment="1" applyProtection="1">
      <alignment horizontal="left" vertical="top" wrapText="1"/>
    </xf>
    <xf numFmtId="0" fontId="28" fillId="7" borderId="21" xfId="0" applyFont="1" applyFill="1" applyBorder="1" applyAlignment="1" applyProtection="1">
      <alignment vertical="top"/>
    </xf>
    <xf numFmtId="0" fontId="28" fillId="7" borderId="22" xfId="0" applyFont="1" applyFill="1" applyBorder="1" applyAlignment="1" applyProtection="1">
      <alignment vertical="top"/>
    </xf>
    <xf numFmtId="0" fontId="28" fillId="7" borderId="20" xfId="0" applyFont="1" applyFill="1" applyBorder="1" applyAlignment="1" applyProtection="1">
      <alignment horizontal="justify" vertical="top" wrapText="1"/>
    </xf>
    <xf numFmtId="0" fontId="24" fillId="7" borderId="0" xfId="0" applyFont="1" applyFill="1" applyBorder="1" applyAlignment="1" applyProtection="1">
      <alignment vertical="top" wrapText="1"/>
    </xf>
    <xf numFmtId="0" fontId="24" fillId="7" borderId="0" xfId="0" applyFont="1" applyFill="1" applyBorder="1" applyAlignment="1" applyProtection="1">
      <alignment vertical="top"/>
    </xf>
    <xf numFmtId="0" fontId="30" fillId="7" borderId="0" xfId="0" applyFont="1" applyFill="1" applyBorder="1" applyAlignment="1" applyProtection="1">
      <alignment vertical="top" wrapText="1"/>
    </xf>
    <xf numFmtId="0" fontId="30" fillId="7" borderId="0" xfId="0" applyFont="1" applyFill="1" applyBorder="1" applyAlignment="1" applyProtection="1">
      <alignment vertical="top"/>
    </xf>
    <xf numFmtId="0" fontId="30" fillId="13" borderId="103" xfId="0" applyFont="1" applyFill="1" applyBorder="1" applyAlignment="1" applyProtection="1">
      <alignment vertical="center" wrapText="1"/>
    </xf>
    <xf numFmtId="0" fontId="30" fillId="13" borderId="48" xfId="0" applyFont="1" applyFill="1" applyBorder="1" applyAlignment="1" applyProtection="1">
      <alignment vertical="center"/>
    </xf>
    <xf numFmtId="0" fontId="29" fillId="13" borderId="3" xfId="0" applyFont="1" applyFill="1" applyBorder="1" applyAlignment="1" applyProtection="1">
      <alignment vertical="center" wrapText="1"/>
    </xf>
    <xf numFmtId="0" fontId="29" fillId="13" borderId="4" xfId="0" applyFont="1" applyFill="1" applyBorder="1" applyAlignment="1" applyProtection="1">
      <alignment vertical="center"/>
    </xf>
    <xf numFmtId="0" fontId="30" fillId="13" borderId="49" xfId="0" applyFont="1" applyFill="1" applyBorder="1" applyAlignment="1" applyProtection="1">
      <alignment vertical="center" wrapText="1"/>
    </xf>
    <xf numFmtId="0" fontId="30" fillId="13" borderId="52" xfId="0" applyFont="1" applyFill="1" applyBorder="1" applyAlignment="1" applyProtection="1">
      <alignment vertical="center"/>
    </xf>
    <xf numFmtId="0" fontId="32" fillId="7" borderId="4" xfId="0" quotePrefix="1" applyFont="1" applyFill="1" applyBorder="1" applyAlignment="1" applyProtection="1">
      <alignment horizontal="left" vertical="top" wrapText="1"/>
    </xf>
    <xf numFmtId="0" fontId="32" fillId="7" borderId="4" xfId="0" applyFont="1" applyFill="1" applyBorder="1" applyAlignment="1" applyProtection="1">
      <alignment horizontal="left" vertical="top" wrapText="1"/>
    </xf>
    <xf numFmtId="0" fontId="30" fillId="13" borderId="105" xfId="0" applyFont="1" applyFill="1" applyBorder="1" applyAlignment="1" applyProtection="1">
      <alignment horizontal="left" vertical="center" wrapText="1"/>
    </xf>
    <xf numFmtId="0" fontId="30" fillId="13" borderId="106" xfId="0" applyFont="1" applyFill="1" applyBorder="1" applyAlignment="1" applyProtection="1">
      <alignment horizontal="left" vertical="center" wrapText="1"/>
    </xf>
    <xf numFmtId="3" fontId="30" fillId="13" borderId="111" xfId="0" applyNumberFormat="1" applyFont="1" applyFill="1" applyBorder="1" applyAlignment="1" applyProtection="1">
      <alignment horizontal="center" vertical="center" wrapText="1"/>
    </xf>
    <xf numFmtId="3" fontId="30" fillId="13" borderId="114" xfId="0" applyNumberFormat="1" applyFont="1" applyFill="1" applyBorder="1" applyAlignment="1" applyProtection="1">
      <alignment horizontal="center" vertical="center" wrapText="1"/>
    </xf>
    <xf numFmtId="0" fontId="46" fillId="15" borderId="97" xfId="0" applyFont="1" applyFill="1" applyBorder="1" applyAlignment="1" applyProtection="1">
      <alignment horizontal="center" vertical="center"/>
    </xf>
    <xf numFmtId="0" fontId="46" fillId="15" borderId="120" xfId="0" applyFont="1" applyFill="1" applyBorder="1" applyAlignment="1" applyProtection="1">
      <alignment horizontal="center" vertical="center"/>
    </xf>
    <xf numFmtId="0" fontId="46" fillId="15" borderId="98" xfId="0" applyFont="1" applyFill="1" applyBorder="1" applyAlignment="1" applyProtection="1">
      <alignment horizontal="center" vertical="center"/>
    </xf>
    <xf numFmtId="0" fontId="46" fillId="15" borderId="73" xfId="0" applyFont="1" applyFill="1" applyBorder="1" applyAlignment="1" applyProtection="1">
      <alignment horizontal="center" vertical="center"/>
    </xf>
    <xf numFmtId="164" fontId="30" fillId="13" borderId="132" xfId="0" applyNumberFormat="1" applyFont="1" applyFill="1" applyBorder="1" applyAlignment="1" applyProtection="1">
      <alignment horizontal="center" vertical="center" wrapText="1"/>
    </xf>
    <xf numFmtId="164" fontId="30" fillId="13" borderId="30" xfId="0" applyNumberFormat="1" applyFont="1" applyFill="1" applyBorder="1" applyAlignment="1" applyProtection="1">
      <alignment horizontal="center" vertical="center" wrapText="1"/>
    </xf>
    <xf numFmtId="164" fontId="30" fillId="13" borderId="0" xfId="0" applyNumberFormat="1" applyFont="1" applyFill="1" applyBorder="1" applyAlignment="1" applyProtection="1">
      <alignment horizontal="center" vertical="center" wrapText="1"/>
    </xf>
    <xf numFmtId="164" fontId="30" fillId="13" borderId="130" xfId="0" applyNumberFormat="1" applyFont="1" applyFill="1" applyBorder="1" applyAlignment="1" applyProtection="1">
      <alignment horizontal="center" vertical="center" wrapText="1"/>
    </xf>
    <xf numFmtId="164" fontId="30" fillId="13" borderId="39" xfId="0" applyNumberFormat="1" applyFont="1" applyFill="1" applyBorder="1" applyAlignment="1" applyProtection="1">
      <alignment horizontal="center" vertical="center" wrapText="1"/>
    </xf>
    <xf numFmtId="0" fontId="19" fillId="7" borderId="0" xfId="0" applyFont="1" applyFill="1" applyBorder="1" applyAlignment="1" applyProtection="1">
      <alignment wrapText="1"/>
    </xf>
    <xf numFmtId="0" fontId="15" fillId="7" borderId="0" xfId="0" applyFont="1" applyFill="1" applyBorder="1" applyAlignment="1" applyProtection="1">
      <alignment vertical="top" wrapText="1"/>
    </xf>
    <xf numFmtId="0" fontId="30" fillId="13" borderId="49" xfId="0" applyFont="1" applyFill="1" applyBorder="1" applyAlignment="1" applyProtection="1">
      <alignment horizontal="left" vertical="center" wrapText="1"/>
    </xf>
    <xf numFmtId="0" fontId="30" fillId="13" borderId="52" xfId="0" applyFont="1" applyFill="1" applyBorder="1" applyAlignment="1" applyProtection="1">
      <alignment horizontal="left" vertical="center" wrapText="1"/>
    </xf>
    <xf numFmtId="0" fontId="30" fillId="13" borderId="107" xfId="0" applyFont="1" applyFill="1" applyBorder="1" applyAlignment="1" applyProtection="1">
      <alignment vertical="center" wrapText="1"/>
    </xf>
    <xf numFmtId="0" fontId="30" fillId="13" borderId="108" xfId="0" applyFont="1" applyFill="1" applyBorder="1" applyAlignment="1" applyProtection="1">
      <alignment vertical="center"/>
    </xf>
    <xf numFmtId="0" fontId="30" fillId="13" borderId="7" xfId="0" applyFont="1" applyFill="1" applyBorder="1" applyAlignment="1" applyProtection="1">
      <alignment horizontal="left" vertical="center" wrapText="1"/>
    </xf>
    <xf numFmtId="0" fontId="30" fillId="13" borderId="8" xfId="0" applyFont="1" applyFill="1" applyBorder="1" applyAlignment="1" applyProtection="1">
      <alignment horizontal="left" vertical="center" wrapText="1"/>
    </xf>
    <xf numFmtId="166" fontId="30" fillId="13" borderId="133" xfId="0" applyNumberFormat="1" applyFont="1" applyFill="1" applyBorder="1" applyAlignment="1" applyProtection="1">
      <alignment horizontal="center" vertical="center"/>
    </xf>
    <xf numFmtId="0" fontId="46" fillId="15" borderId="141" xfId="0" applyFont="1" applyFill="1" applyBorder="1" applyAlignment="1" applyProtection="1">
      <alignment horizontal="center" vertical="center"/>
    </xf>
    <xf numFmtId="0" fontId="46" fillId="15" borderId="142" xfId="0" applyFont="1" applyFill="1" applyBorder="1" applyAlignment="1" applyProtection="1">
      <alignment horizontal="center" vertical="center"/>
    </xf>
    <xf numFmtId="0" fontId="46" fillId="15" borderId="140" xfId="0" applyFont="1" applyFill="1" applyBorder="1" applyAlignment="1" applyProtection="1">
      <alignment horizontal="center" vertical="center"/>
    </xf>
    <xf numFmtId="0" fontId="46" fillId="15" borderId="139" xfId="0" applyFont="1" applyFill="1" applyBorder="1" applyAlignment="1" applyProtection="1">
      <alignment horizontal="center" vertical="center"/>
    </xf>
    <xf numFmtId="164" fontId="30" fillId="13" borderId="154" xfId="0" applyNumberFormat="1" applyFont="1" applyFill="1" applyBorder="1" applyAlignment="1" applyProtection="1">
      <alignment horizontal="center" vertical="center" wrapText="1"/>
    </xf>
    <xf numFmtId="166" fontId="30" fillId="13" borderId="29" xfId="0" applyNumberFormat="1" applyFont="1" applyFill="1" applyBorder="1" applyAlignment="1" applyProtection="1">
      <alignment horizontal="center" vertical="center"/>
    </xf>
    <xf numFmtId="0" fontId="30" fillId="13" borderId="124" xfId="0" applyFont="1" applyFill="1" applyBorder="1" applyAlignment="1" applyProtection="1">
      <alignment vertical="center" wrapText="1"/>
    </xf>
    <xf numFmtId="0" fontId="30" fillId="13" borderId="88" xfId="0" applyFont="1" applyFill="1" applyBorder="1" applyAlignment="1" applyProtection="1">
      <alignment vertical="center"/>
    </xf>
    <xf numFmtId="0" fontId="30" fillId="13" borderId="7" xfId="0" applyFont="1" applyFill="1" applyBorder="1" applyAlignment="1" applyProtection="1">
      <alignment vertical="center" wrapText="1"/>
    </xf>
    <xf numFmtId="0" fontId="30" fillId="13" borderId="8" xfId="0" applyFont="1" applyFill="1" applyBorder="1" applyAlignment="1" applyProtection="1">
      <alignment vertical="center"/>
    </xf>
    <xf numFmtId="0" fontId="30" fillId="13" borderId="125" xfId="0" applyFont="1" applyFill="1" applyBorder="1" applyAlignment="1" applyProtection="1">
      <alignment horizontal="left" vertical="center" wrapText="1"/>
    </xf>
    <xf numFmtId="0" fontId="30" fillId="13" borderId="126" xfId="0" applyFont="1" applyFill="1" applyBorder="1" applyAlignment="1" applyProtection="1">
      <alignment horizontal="left" vertical="center" wrapText="1"/>
    </xf>
    <xf numFmtId="0" fontId="30" fillId="13" borderId="124" xfId="0" applyFont="1" applyFill="1" applyBorder="1" applyAlignment="1" applyProtection="1">
      <alignment horizontal="left" vertical="center" wrapText="1"/>
    </xf>
    <xf numFmtId="0" fontId="30" fillId="13" borderId="88" xfId="0" applyFont="1" applyFill="1" applyBorder="1" applyAlignment="1" applyProtection="1">
      <alignment horizontal="left" vertical="center" wrapText="1"/>
    </xf>
    <xf numFmtId="9" fontId="30" fillId="15" borderId="2" xfId="3" applyFont="1" applyFill="1" applyBorder="1" applyAlignment="1" applyProtection="1">
      <alignment horizontal="left" vertical="top"/>
    </xf>
    <xf numFmtId="0" fontId="46" fillId="15" borderId="121" xfId="0" applyFont="1" applyFill="1" applyBorder="1" applyAlignment="1" applyProtection="1">
      <alignment horizontal="center" vertical="center"/>
    </xf>
    <xf numFmtId="0" fontId="30" fillId="13" borderId="118" xfId="0" applyFont="1" applyFill="1" applyBorder="1" applyAlignment="1" applyProtection="1">
      <alignment horizontal="left" vertical="center" wrapText="1"/>
    </xf>
    <xf numFmtId="0" fontId="30" fillId="13" borderId="119" xfId="0" applyFont="1" applyFill="1" applyBorder="1" applyAlignment="1" applyProtection="1">
      <alignment horizontal="left" vertical="center" wrapText="1"/>
    </xf>
    <xf numFmtId="167" fontId="30" fillId="15" borderId="21" xfId="0" applyNumberFormat="1" applyFont="1" applyFill="1" applyBorder="1" applyAlignment="1" applyProtection="1">
      <alignment horizontal="left" vertical="top"/>
    </xf>
    <xf numFmtId="167" fontId="30" fillId="15" borderId="22" xfId="0" applyNumberFormat="1" applyFont="1" applyFill="1" applyBorder="1" applyAlignment="1" applyProtection="1">
      <alignment horizontal="left" vertical="top"/>
    </xf>
    <xf numFmtId="0" fontId="30" fillId="13" borderId="128" xfId="0" applyFont="1" applyFill="1" applyBorder="1" applyAlignment="1" applyProtection="1">
      <alignment horizontal="left" vertical="center" wrapText="1"/>
    </xf>
    <xf numFmtId="0" fontId="30" fillId="13" borderId="72" xfId="0" applyFont="1" applyFill="1" applyBorder="1" applyAlignment="1" applyProtection="1">
      <alignment horizontal="left" vertical="center" wrapText="1"/>
    </xf>
    <xf numFmtId="0" fontId="30" fillId="13" borderId="6" xfId="0" applyFont="1" applyFill="1" applyBorder="1" applyAlignment="1" applyProtection="1">
      <alignment vertical="center" wrapText="1"/>
    </xf>
    <xf numFmtId="0" fontId="30" fillId="13" borderId="0" xfId="0" applyFont="1" applyFill="1" applyBorder="1" applyAlignment="1" applyProtection="1">
      <alignment vertical="center"/>
    </xf>
    <xf numFmtId="0" fontId="9" fillId="4" borderId="20" xfId="0" applyFont="1" applyFill="1" applyBorder="1" applyAlignment="1">
      <alignment horizontal="left" wrapText="1"/>
    </xf>
    <xf numFmtId="0" fontId="0" fillId="0" borderId="21" xfId="0" applyBorder="1"/>
    <xf numFmtId="0" fontId="0" fillId="0" borderId="22" xfId="0" applyBorder="1"/>
    <xf numFmtId="0" fontId="9" fillId="4" borderId="20" xfId="0" applyFont="1" applyFill="1" applyBorder="1" applyAlignment="1">
      <alignment horizontal="justify" wrapText="1"/>
    </xf>
    <xf numFmtId="0" fontId="0" fillId="4" borderId="21" xfId="0" applyFill="1" applyBorder="1" applyAlignment="1"/>
    <xf numFmtId="0" fontId="0" fillId="4" borderId="22" xfId="0" applyFill="1" applyBorder="1" applyAlignment="1"/>
    <xf numFmtId="0" fontId="6" fillId="4" borderId="0" xfId="0" applyFont="1" applyFill="1" applyBorder="1" applyAlignment="1">
      <alignment wrapText="1"/>
    </xf>
    <xf numFmtId="0" fontId="6" fillId="4" borderId="0" xfId="0" applyFont="1" applyFill="1" applyBorder="1" applyAlignment="1"/>
    <xf numFmtId="0" fontId="9" fillId="4" borderId="0" xfId="0" applyFont="1" applyFill="1" applyBorder="1" applyAlignment="1">
      <alignment vertical="top" wrapText="1"/>
    </xf>
    <xf numFmtId="0" fontId="9" fillId="4" borderId="0" xfId="0" applyFont="1" applyFill="1" applyBorder="1" applyAlignment="1">
      <alignment vertical="top"/>
    </xf>
    <xf numFmtId="0" fontId="0" fillId="4" borderId="0" xfId="0" applyFill="1" applyBorder="1" applyAlignment="1">
      <alignment vertical="top"/>
    </xf>
    <xf numFmtId="0" fontId="9" fillId="4" borderId="13" xfId="0" applyFont="1" applyFill="1" applyBorder="1" applyAlignment="1">
      <alignment vertical="center" wrapText="1"/>
    </xf>
    <xf numFmtId="0" fontId="9" fillId="4" borderId="0" xfId="0" applyFont="1" applyFill="1" applyBorder="1" applyAlignment="1">
      <alignment vertical="center" wrapText="1"/>
    </xf>
    <xf numFmtId="0" fontId="9" fillId="4" borderId="0" xfId="0" applyFont="1" applyFill="1" applyBorder="1" applyAlignment="1">
      <alignment vertical="center"/>
    </xf>
    <xf numFmtId="0" fontId="0" fillId="0" borderId="0" xfId="0" applyAlignment="1">
      <alignment vertical="center"/>
    </xf>
    <xf numFmtId="0" fontId="9" fillId="4" borderId="25" xfId="0" applyFont="1" applyFill="1" applyBorder="1" applyAlignment="1">
      <alignment vertical="center" wrapText="1"/>
    </xf>
    <xf numFmtId="0" fontId="0" fillId="0" borderId="16" xfId="0" applyBorder="1" applyAlignment="1">
      <alignment vertical="center"/>
    </xf>
    <xf numFmtId="164" fontId="30" fillId="13" borderId="122" xfId="0" applyNumberFormat="1" applyFont="1" applyFill="1" applyBorder="1" applyAlignment="1" applyProtection="1">
      <alignment horizontal="center" vertical="center" wrapText="1"/>
    </xf>
    <xf numFmtId="0" fontId="30" fillId="13" borderId="6" xfId="0" applyFont="1" applyFill="1" applyBorder="1" applyAlignment="1" applyProtection="1">
      <alignment horizontal="left" vertical="center" wrapText="1"/>
    </xf>
    <xf numFmtId="0" fontId="30" fillId="13" borderId="0" xfId="0" applyFont="1" applyFill="1" applyBorder="1" applyAlignment="1" applyProtection="1">
      <alignment horizontal="left" vertical="center" wrapText="1"/>
    </xf>
    <xf numFmtId="0" fontId="30" fillId="13" borderId="118" xfId="0" applyFont="1" applyFill="1" applyBorder="1" applyAlignment="1" applyProtection="1">
      <alignment vertical="center" wrapText="1"/>
    </xf>
    <xf numFmtId="0" fontId="30" fillId="13" borderId="119" xfId="0" applyFont="1" applyFill="1" applyBorder="1" applyAlignment="1" applyProtection="1">
      <alignment vertical="center"/>
    </xf>
    <xf numFmtId="0" fontId="29" fillId="15" borderId="20" xfId="0" applyFont="1" applyFill="1" applyBorder="1" applyAlignment="1" applyProtection="1">
      <alignment vertical="top" wrapText="1"/>
    </xf>
    <xf numFmtId="0" fontId="29" fillId="15" borderId="21" xfId="0" applyFont="1" applyFill="1" applyBorder="1" applyAlignment="1" applyProtection="1">
      <alignment vertical="top" wrapText="1"/>
    </xf>
    <xf numFmtId="0" fontId="29" fillId="15" borderId="22" xfId="0" applyFont="1" applyFill="1" applyBorder="1" applyAlignment="1" applyProtection="1">
      <alignment vertical="top" wrapText="1"/>
    </xf>
    <xf numFmtId="3" fontId="30" fillId="13" borderId="122" xfId="0" applyNumberFormat="1" applyFont="1" applyFill="1" applyBorder="1" applyAlignment="1" applyProtection="1">
      <alignment horizontal="center" vertical="center" wrapText="1"/>
    </xf>
    <xf numFmtId="3" fontId="30" fillId="13" borderId="39" xfId="0" applyNumberFormat="1" applyFont="1" applyFill="1" applyBorder="1" applyAlignment="1" applyProtection="1">
      <alignment horizontal="center" vertical="center" wrapText="1"/>
    </xf>
    <xf numFmtId="169" fontId="30" fillId="13" borderId="122" xfId="0" applyNumberFormat="1" applyFont="1" applyFill="1" applyBorder="1" applyAlignment="1" applyProtection="1">
      <alignment horizontal="center" vertical="center" wrapText="1"/>
    </xf>
    <xf numFmtId="164" fontId="30" fillId="13" borderId="29" xfId="0" applyNumberFormat="1" applyFont="1" applyFill="1" applyBorder="1" applyAlignment="1" applyProtection="1">
      <alignment horizontal="center" vertical="center" wrapText="1"/>
    </xf>
    <xf numFmtId="165" fontId="30" fillId="13" borderId="122" xfId="0" applyNumberFormat="1" applyFont="1" applyFill="1" applyBorder="1" applyAlignment="1" applyProtection="1">
      <alignment horizontal="center" vertical="center" wrapText="1"/>
    </xf>
    <xf numFmtId="165" fontId="30" fillId="13" borderId="29" xfId="0" applyNumberFormat="1" applyFont="1" applyFill="1" applyBorder="1" applyAlignment="1" applyProtection="1">
      <alignment horizontal="center" vertical="center" wrapText="1"/>
    </xf>
    <xf numFmtId="165" fontId="30" fillId="13" borderId="39" xfId="0" applyNumberFormat="1" applyFont="1" applyFill="1" applyBorder="1" applyAlignment="1" applyProtection="1">
      <alignment horizontal="center" vertical="center" wrapText="1"/>
    </xf>
    <xf numFmtId="169" fontId="30" fillId="13" borderId="123" xfId="0" applyNumberFormat="1" applyFont="1" applyFill="1" applyBorder="1" applyAlignment="1" applyProtection="1">
      <alignment horizontal="center" vertical="center" wrapText="1"/>
    </xf>
    <xf numFmtId="1" fontId="30" fillId="15" borderId="20" xfId="0" applyNumberFormat="1" applyFont="1" applyFill="1" applyBorder="1" applyAlignment="1" applyProtection="1">
      <alignment horizontal="left" vertical="top"/>
    </xf>
    <xf numFmtId="1" fontId="30" fillId="15" borderId="21" xfId="0" applyNumberFormat="1" applyFont="1" applyFill="1" applyBorder="1" applyAlignment="1" applyProtection="1">
      <alignment horizontal="left" vertical="top"/>
    </xf>
    <xf numFmtId="1" fontId="30" fillId="15" borderId="22" xfId="0" applyNumberFormat="1" applyFont="1" applyFill="1" applyBorder="1" applyAlignment="1" applyProtection="1">
      <alignment horizontal="left" vertical="top"/>
    </xf>
    <xf numFmtId="0" fontId="30" fillId="13" borderId="129" xfId="0" applyFont="1" applyFill="1" applyBorder="1" applyAlignment="1" applyProtection="1">
      <alignment horizontal="left" vertical="center" wrapText="1"/>
    </xf>
    <xf numFmtId="0" fontId="15" fillId="9" borderId="0" xfId="0" applyFont="1" applyFill="1" applyAlignment="1">
      <alignment horizontal="left" vertical="top" wrapText="1"/>
    </xf>
    <xf numFmtId="0" fontId="15" fillId="7" borderId="11" xfId="0" applyFont="1" applyFill="1" applyBorder="1" applyAlignment="1">
      <alignment horizontal="center" vertical="center" wrapText="1"/>
    </xf>
    <xf numFmtId="0" fontId="15" fillId="7" borderId="46"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21" xfId="0" applyFont="1" applyFill="1" applyBorder="1" applyAlignment="1">
      <alignment horizontal="left"/>
    </xf>
    <xf numFmtId="0" fontId="15" fillId="7" borderId="95" xfId="0" applyFont="1" applyFill="1" applyBorder="1" applyAlignment="1">
      <alignment horizontal="left"/>
    </xf>
    <xf numFmtId="0" fontId="15" fillId="7" borderId="20" xfId="0" applyFont="1" applyFill="1" applyBorder="1" applyAlignment="1">
      <alignment horizontal="left" wrapText="1"/>
    </xf>
    <xf numFmtId="0" fontId="15" fillId="7" borderId="21" xfId="0" applyFont="1" applyFill="1" applyBorder="1" applyAlignment="1">
      <alignment horizontal="left" wrapText="1"/>
    </xf>
    <xf numFmtId="0" fontId="15" fillId="7" borderId="95" xfId="0" applyFont="1" applyFill="1" applyBorder="1" applyAlignment="1">
      <alignment horizontal="left" wrapText="1"/>
    </xf>
    <xf numFmtId="0" fontId="17" fillId="7" borderId="16" xfId="0" applyFont="1" applyFill="1" applyBorder="1" applyAlignment="1"/>
    <xf numFmtId="0" fontId="15" fillId="7" borderId="62" xfId="0" applyFont="1" applyFill="1" applyBorder="1" applyAlignment="1"/>
    <xf numFmtId="0" fontId="35" fillId="8" borderId="17" xfId="0" applyFont="1" applyFill="1" applyBorder="1" applyAlignment="1">
      <alignment horizontal="left" wrapText="1"/>
    </xf>
    <xf numFmtId="0" fontId="36" fillId="8" borderId="19" xfId="0" applyFont="1" applyFill="1" applyBorder="1" applyAlignment="1">
      <alignment horizontal="left" wrapText="1"/>
    </xf>
    <xf numFmtId="0" fontId="36" fillId="8" borderId="18" xfId="0" applyFont="1" applyFill="1" applyBorder="1" applyAlignment="1">
      <alignment horizontal="left" wrapText="1"/>
    </xf>
    <xf numFmtId="0" fontId="17" fillId="7" borderId="32" xfId="0" applyFont="1" applyFill="1" applyBorder="1" applyAlignment="1"/>
    <xf numFmtId="0" fontId="15" fillId="7" borderId="33" xfId="0" applyFont="1" applyFill="1" applyBorder="1" applyAlignment="1"/>
    <xf numFmtId="0" fontId="15" fillId="7" borderId="157"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5" fillId="12" borderId="21" xfId="0" applyFont="1" applyFill="1" applyBorder="1" applyAlignment="1">
      <alignment vertical="center" wrapText="1"/>
    </xf>
    <xf numFmtId="0" fontId="15" fillId="12" borderId="22" xfId="0" applyFont="1" applyFill="1" applyBorder="1" applyAlignment="1">
      <alignment vertical="center" wrapText="1"/>
    </xf>
    <xf numFmtId="0" fontId="15" fillId="7" borderId="20" xfId="0" applyFont="1" applyFill="1" applyBorder="1" applyAlignment="1">
      <alignment horizontal="left" vertical="center" wrapText="1"/>
    </xf>
    <xf numFmtId="0" fontId="15" fillId="7" borderId="21" xfId="0" applyFont="1" applyFill="1" applyBorder="1" applyAlignment="1">
      <alignment horizontal="left" vertical="center" wrapText="1"/>
    </xf>
    <xf numFmtId="0" fontId="15" fillId="7" borderId="22" xfId="0" applyFont="1" applyFill="1" applyBorder="1" applyAlignment="1">
      <alignment horizontal="left" vertical="center" wrapText="1"/>
    </xf>
    <xf numFmtId="166" fontId="17" fillId="7" borderId="94" xfId="0" applyNumberFormat="1" applyFont="1" applyFill="1" applyBorder="1" applyAlignment="1">
      <alignment horizontal="center"/>
    </xf>
    <xf numFmtId="166" fontId="17" fillId="7" borderId="33" xfId="0" applyNumberFormat="1" applyFont="1" applyFill="1" applyBorder="1" applyAlignment="1">
      <alignment horizontal="center"/>
    </xf>
    <xf numFmtId="0" fontId="36" fillId="8" borderId="19" xfId="0" applyFont="1" applyFill="1" applyBorder="1" applyAlignment="1">
      <alignment horizontal="center" wrapText="1"/>
    </xf>
    <xf numFmtId="0" fontId="36" fillId="8" borderId="18" xfId="0" applyFont="1" applyFill="1" applyBorder="1" applyAlignment="1">
      <alignment horizontal="center" wrapText="1"/>
    </xf>
    <xf numFmtId="0" fontId="15" fillId="7" borderId="94" xfId="0" applyFont="1" applyFill="1" applyBorder="1" applyAlignment="1">
      <alignment horizontal="left"/>
    </xf>
    <xf numFmtId="0" fontId="15" fillId="7" borderId="33" xfId="0" applyFont="1" applyFill="1" applyBorder="1" applyAlignment="1">
      <alignment horizontal="left"/>
    </xf>
    <xf numFmtId="0" fontId="17" fillId="7" borderId="33" xfId="0" applyFont="1" applyFill="1" applyBorder="1" applyAlignment="1"/>
    <xf numFmtId="0" fontId="35" fillId="8" borderId="17" xfId="0" applyFont="1" applyFill="1" applyBorder="1" applyAlignment="1">
      <alignment horizontal="left" vertical="center" wrapText="1"/>
    </xf>
    <xf numFmtId="0" fontId="35" fillId="8" borderId="19" xfId="0" applyFont="1" applyFill="1" applyBorder="1" applyAlignment="1">
      <alignment horizontal="left" vertical="center" wrapText="1"/>
    </xf>
    <xf numFmtId="0" fontId="35" fillId="8" borderId="18" xfId="0" applyFont="1" applyFill="1" applyBorder="1" applyAlignment="1">
      <alignment horizontal="left" vertical="center" wrapText="1"/>
    </xf>
  </cellXfs>
  <cellStyles count="8">
    <cellStyle name="Hyperlink" xfId="1" builtinId="8"/>
    <cellStyle name="Procent" xfId="3" builtinId="5"/>
    <cellStyle name="Procent 2" xfId="7"/>
    <cellStyle name="Procent 3" xfId="5"/>
    <cellStyle name="Standaard" xfId="0" builtinId="0"/>
    <cellStyle name="Standaard 2" xfId="2"/>
    <cellStyle name="Standaard 3" xfId="6"/>
    <cellStyle name="Standaard 4" xfId="4"/>
  </cellStyles>
  <dxfs count="0"/>
  <tableStyles count="0" defaultTableStyle="TableStyleMedium9" defaultPivotStyle="PivotStyleLight16"/>
  <colors>
    <mruColors>
      <color rgb="FFEAEAEA"/>
      <color rgb="FFD0EEFF"/>
      <color rgb="FFDDDDDD"/>
      <color rgb="FFB9E4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26670</xdr:rowOff>
    </xdr:from>
    <xdr:to>
      <xdr:col>14</xdr:col>
      <xdr:colOff>213360</xdr:colOff>
      <xdr:row>74</xdr:row>
      <xdr:rowOff>144780</xdr:rowOff>
    </xdr:to>
    <xdr:sp macro="" textlink="">
      <xdr:nvSpPr>
        <xdr:cNvPr id="1628" name="Text Box 1"/>
        <xdr:cNvSpPr txBox="1">
          <a:spLocks noChangeArrowheads="1"/>
        </xdr:cNvSpPr>
      </xdr:nvSpPr>
      <xdr:spPr bwMode="auto">
        <a:xfrm>
          <a:off x="251460" y="209550"/>
          <a:ext cx="8138160" cy="13468350"/>
        </a:xfrm>
        <a:prstGeom prst="rect">
          <a:avLst/>
        </a:prstGeom>
        <a:solidFill>
          <a:srgbClr val="FFFFFF"/>
        </a:solidFill>
        <a:ln w="9525">
          <a:solidFill>
            <a:srgbClr val="000000"/>
          </a:solidFill>
          <a:miter lim="800000"/>
          <a:headEnd/>
          <a:tailEnd/>
        </a:ln>
      </xdr:spPr>
      <xdr:txBody>
        <a:bodyPr vertOverflow="clip" wrap="square" lIns="36576" tIns="27432" rIns="0" bIns="0" anchor="t"/>
        <a:lstStyle/>
        <a:p>
          <a:pPr algn="l" rtl="0">
            <a:defRPr sz="1000"/>
          </a:pPr>
          <a:r>
            <a:rPr lang="nl-NL" sz="1400" b="1" i="0" u="none" strike="noStrike" baseline="0">
              <a:solidFill>
                <a:schemeClr val="accent1"/>
              </a:solidFill>
              <a:latin typeface="Trebuchet MS" panose="020B0603020202020204" pitchFamily="34" charset="0"/>
              <a:cs typeface="Arial"/>
            </a:rPr>
            <a:t>Inleiding</a:t>
          </a:r>
          <a:endParaRPr lang="nl-NL" sz="1400" b="0" i="0" u="none" strike="noStrike" baseline="0">
            <a:solidFill>
              <a:schemeClr val="accent1"/>
            </a:solidFill>
            <a:latin typeface="Trebuchet MS" panose="020B0603020202020204" pitchFamily="34" charset="0"/>
            <a:cs typeface="Arial"/>
          </a:endParaRPr>
        </a:p>
        <a:p>
          <a:pPr algn="l" rtl="0">
            <a:defRPr sz="1000"/>
          </a:pPr>
          <a:endParaRPr lang="nl-NL" sz="1000" b="0" i="0" u="none" strike="noStrike" baseline="0">
            <a:solidFill>
              <a:srgbClr val="000000"/>
            </a:solidFill>
            <a:latin typeface="Trebuchet MS" panose="020B0603020202020204" pitchFamily="34" charset="0"/>
            <a:cs typeface="Arial"/>
          </a:endParaRP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Ketenprojecten bieden nieuwe wegen voor energie-efficiency, naast de mogelijkheden om energie te besparen in het productieproces. Voor de rubber- en kunststoffenindustrie lijken er vooral mogelijkheden te zijn voor energie-efficiency in de keten. De ambitie van de branche is een verlaging van de totale energie-efficiency index met 30 % over de periode 2005-2020. </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De monitoring van ketenmaatregelen gaat op een andere wijze dan bij procesmaatregelen. In dit bestand zijn 12 voorbeelden opgenomen van berekeningen van de energiebesparing van ketenmaatregelen. De berekeningen zijn gemaakt conform de Handreiking Monitoring MJA3 versie 4.3 en zijn dus geschikt om op te nemen in de energiemonitoring. Dit document is opgesteld als onderdeel van ondersteuning bij het Energie Efficiency Plan (EEP) 2017-2020. Voor deze voorbeelden zijn stappen samengevoegd en vereenvoudigd. Geprobeerd is die situaties in voorbeeldberekeningen samen te vatten die vaak in de rubber- en kunststoffenindustrie voorkomen, zoals:</a:t>
          </a:r>
        </a:p>
        <a:p>
          <a:pPr algn="l" rtl="0">
            <a:defRPr sz="1000"/>
          </a:pPr>
          <a:r>
            <a:rPr lang="nl-NL" sz="1000" b="0" i="0" baseline="0">
              <a:effectLst/>
              <a:latin typeface="+mn-lt"/>
              <a:ea typeface="+mn-ea"/>
              <a:cs typeface="+mn-cs"/>
            </a:rPr>
            <a:t>   </a:t>
          </a:r>
          <a:r>
            <a:rPr lang="nl-NL" sz="1000" b="0" i="0" u="none" strike="noStrike" baseline="0">
              <a:solidFill>
                <a:schemeClr val="tx1">
                  <a:lumMod val="75000"/>
                  <a:lumOff val="25000"/>
                </a:schemeClr>
              </a:solidFill>
              <a:latin typeface="Trebuchet MS" panose="020B0603020202020204" pitchFamily="34" charset="0"/>
              <a:ea typeface="+mn-ea"/>
              <a:cs typeface="Arial"/>
            </a:rPr>
            <a:t># </a:t>
          </a:r>
          <a:r>
            <a:rPr lang="nl-NL" sz="1000" b="0" i="0" u="none" strike="noStrike" baseline="0">
              <a:solidFill>
                <a:schemeClr val="tx1">
                  <a:lumMod val="75000"/>
                  <a:lumOff val="25000"/>
                </a:schemeClr>
              </a:solidFill>
              <a:latin typeface="Trebuchet MS" panose="020B0603020202020204" pitchFamily="34" charset="0"/>
              <a:cs typeface="Arial"/>
            </a:rPr>
            <a:t>Hergebruik (zowel het afdanken voor recycling, als het produceren van recyclaat en het toepassen van recyclaat)</a:t>
          </a:r>
        </a:p>
        <a:p>
          <a:pPr algn="l" rtl="0">
            <a:defRPr sz="1000"/>
          </a:pPr>
          <a:r>
            <a:rPr lang="nl-NL" sz="1000" b="0" i="0" baseline="0">
              <a:effectLst/>
              <a:latin typeface="+mn-lt"/>
              <a:ea typeface="+mn-ea"/>
              <a:cs typeface="+mn-cs"/>
            </a:rPr>
            <a:t>   </a:t>
          </a:r>
          <a:r>
            <a:rPr lang="nl-NL" sz="1000" b="0" i="0" u="none" strike="noStrike" baseline="0">
              <a:solidFill>
                <a:schemeClr val="tx1">
                  <a:lumMod val="75000"/>
                  <a:lumOff val="25000"/>
                </a:schemeClr>
              </a:solidFill>
              <a:latin typeface="Trebuchet MS" panose="020B0603020202020204" pitchFamily="34" charset="0"/>
              <a:cs typeface="Arial"/>
            </a:rPr>
            <a:t># Materiaalbesparing (door intern hergebruik en door ontwerpaanpassingen)</a:t>
          </a:r>
        </a:p>
        <a:p>
          <a:pPr algn="l" rtl="0">
            <a:defRPr sz="1000"/>
          </a:pPr>
          <a:r>
            <a:rPr lang="nl-NL" sz="1000" b="0" i="0" baseline="0">
              <a:effectLst/>
              <a:latin typeface="+mn-lt"/>
              <a:ea typeface="+mn-ea"/>
              <a:cs typeface="+mn-cs"/>
            </a:rPr>
            <a:t>   </a:t>
          </a:r>
          <a:r>
            <a:rPr lang="nl-NL" sz="1000" b="0" i="0" u="none" strike="noStrike" baseline="0">
              <a:solidFill>
                <a:schemeClr val="tx1">
                  <a:lumMod val="75000"/>
                  <a:lumOff val="25000"/>
                </a:schemeClr>
              </a:solidFill>
              <a:latin typeface="Trebuchet MS" panose="020B0603020202020204" pitchFamily="34" charset="0"/>
              <a:cs typeface="Arial"/>
            </a:rPr>
            <a:t># Energiebesparing door het toepassen van een ander type kunststof (zowel olie gebaseerd als biobased)</a:t>
          </a:r>
        </a:p>
        <a:p>
          <a:pPr algn="l" rtl="0">
            <a:defRPr sz="1000"/>
          </a:pPr>
          <a:r>
            <a:rPr lang="nl-NL" sz="1000" b="0" i="0" baseline="0">
              <a:effectLst/>
              <a:latin typeface="+mn-lt"/>
              <a:ea typeface="+mn-ea"/>
              <a:cs typeface="+mn-cs"/>
            </a:rPr>
            <a:t>   </a:t>
          </a:r>
          <a:r>
            <a:rPr lang="nl-NL" sz="1000" b="0" i="0" u="none" strike="noStrike" baseline="0">
              <a:solidFill>
                <a:schemeClr val="tx1">
                  <a:lumMod val="75000"/>
                  <a:lumOff val="25000"/>
                </a:schemeClr>
              </a:solidFill>
              <a:latin typeface="Trebuchet MS" panose="020B0603020202020204" pitchFamily="34" charset="0"/>
              <a:cs typeface="Arial"/>
            </a:rPr>
            <a:t># Energiebesparing door het toepassen van kunststof in plaats van een ander materiaal (substitutie)</a:t>
          </a:r>
        </a:p>
        <a:p>
          <a:pPr algn="l" rtl="0">
            <a:defRPr sz="1000"/>
          </a:pPr>
          <a:r>
            <a:rPr lang="nl-NL" sz="1000" b="0" i="0" baseline="0">
              <a:effectLst/>
              <a:latin typeface="+mn-lt"/>
              <a:ea typeface="+mn-ea"/>
              <a:cs typeface="+mn-cs"/>
            </a:rPr>
            <a:t>   </a:t>
          </a:r>
          <a:r>
            <a:rPr lang="nl-NL" sz="1000" b="0" i="0" u="none" strike="noStrike" baseline="0">
              <a:solidFill>
                <a:schemeClr val="tx1">
                  <a:lumMod val="75000"/>
                  <a:lumOff val="25000"/>
                </a:schemeClr>
              </a:solidFill>
              <a:latin typeface="Trebuchet MS" panose="020B0603020202020204" pitchFamily="34" charset="0"/>
              <a:cs typeface="Arial"/>
            </a:rPr>
            <a:t># Optimalisatie distributie (kortere afstand, ander transportmiddel of een andere beladingsgraad)</a:t>
          </a:r>
        </a:p>
        <a:p>
          <a:pPr algn="l" rtl="0">
            <a:defRPr sz="1000"/>
          </a:pPr>
          <a:r>
            <a:rPr lang="nl-NL" sz="1000" b="0" i="0" u="none" strike="noStrike" baseline="0">
              <a:solidFill>
                <a:srgbClr val="000000"/>
              </a:solidFill>
              <a:latin typeface="Trebuchet MS" panose="020B0603020202020204" pitchFamily="34" charset="0"/>
              <a:cs typeface="Arial"/>
            </a:rPr>
            <a:t> </a:t>
          </a:r>
        </a:p>
        <a:p>
          <a:pPr algn="l" rtl="0">
            <a:defRPr sz="1000"/>
          </a:pPr>
          <a:r>
            <a:rPr lang="nl-NL" sz="1000" b="1" i="0" u="none" strike="noStrike" baseline="0">
              <a:solidFill>
                <a:schemeClr val="accent1"/>
              </a:solidFill>
              <a:latin typeface="Trebuchet MS" panose="020B0603020202020204" pitchFamily="34" charset="0"/>
              <a:cs typeface="Arial"/>
            </a:rPr>
            <a:t>Wanneer kunt u een ketenmaatregel opvoeren? (vuistregels)</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1. U hebt bewust actie ondernomen om een besparing te realiseren tijdens deze monitoringperiode (2017-2020).</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2. De maatregel levert een energiebesparing die buiten uw productieproces valt; of de maatregel levert materiaalbesparing op. </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3. Er is sprake van een reële besparing ten opzichte van de referentiesituatie, die u kunt onderbouwen met gegevens uit uw administratie.</a:t>
          </a:r>
        </a:p>
        <a:p>
          <a:pPr algn="l" rtl="0">
            <a:defRPr sz="1000"/>
          </a:pPr>
          <a:r>
            <a:rPr lang="nl-NL" sz="1000" b="0" i="0" u="none" strike="noStrike" baseline="0">
              <a:solidFill>
                <a:srgbClr val="000000"/>
              </a:solidFill>
              <a:latin typeface="Trebuchet MS" panose="020B0603020202020204" pitchFamily="34" charset="0"/>
              <a:cs typeface="Arial"/>
            </a:rPr>
            <a:t> </a:t>
          </a:r>
        </a:p>
        <a:p>
          <a:pPr algn="l" rtl="0">
            <a:defRPr sz="1000"/>
          </a:pPr>
          <a:r>
            <a:rPr lang="nl-NL" sz="1000" b="1" i="0" u="none" strike="noStrike" baseline="0">
              <a:solidFill>
                <a:schemeClr val="accent1"/>
              </a:solidFill>
              <a:latin typeface="Trebuchet MS" panose="020B0603020202020204" pitchFamily="34" charset="0"/>
              <a:cs typeface="Arial"/>
            </a:rPr>
            <a:t>Waarom berekenen?</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De energiebesparing van ketenmaatregelen is niet af te lezen van uw energiemeter of energienota. De energiebesparing moet berekend worden om mee te tellen in uw energiemonitoring in het kader van het MJA3 convenant.</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200" b="1" i="0" baseline="0">
              <a:solidFill>
                <a:schemeClr val="accent1"/>
              </a:solidFill>
              <a:effectLst/>
              <a:latin typeface="Trebuchet MS" panose="020B0603020202020204" pitchFamily="34" charset="0"/>
              <a:ea typeface="+mn-ea"/>
              <a:cs typeface="+mn-cs"/>
            </a:rPr>
            <a:t>Gebruik van dit document</a:t>
          </a:r>
          <a:endParaRPr lang="nl-NL" sz="1200" b="1">
            <a:solidFill>
              <a:schemeClr val="accent1"/>
            </a:solidFill>
            <a:effectLst/>
            <a:latin typeface="Trebuchet MS" panose="020B0603020202020204" pitchFamily="34" charset="0"/>
          </a:endParaRP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 </a:t>
          </a: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solidFill>
                <a:schemeClr val="tx1">
                  <a:lumMod val="75000"/>
                  <a:lumOff val="25000"/>
                </a:schemeClr>
              </a:solidFill>
              <a:effectLst/>
              <a:latin typeface="Trebuchet MS" panose="020B0603020202020204" pitchFamily="34" charset="0"/>
              <a:ea typeface="+mn-ea"/>
              <a:cs typeface="+mn-cs"/>
            </a:rPr>
            <a:t>De rekenvoorbeelden in de groene tabbladen in dit document kunnen </a:t>
          </a:r>
          <a:r>
            <a:rPr lang="nl-NL" sz="1000" b="0" i="0" baseline="0">
              <a:effectLst/>
              <a:latin typeface="+mn-lt"/>
              <a:ea typeface="+mn-ea"/>
              <a:cs typeface="+mn-cs"/>
            </a:rPr>
            <a:t>worden </a:t>
          </a:r>
          <a:r>
            <a:rPr lang="nl-NL" sz="1000" b="0" i="0" baseline="0">
              <a:solidFill>
                <a:schemeClr val="tx1">
                  <a:lumMod val="75000"/>
                  <a:lumOff val="25000"/>
                </a:schemeClr>
              </a:solidFill>
              <a:effectLst/>
              <a:latin typeface="Trebuchet MS" panose="020B0603020202020204" pitchFamily="34" charset="0"/>
              <a:ea typeface="+mn-ea"/>
              <a:cs typeface="+mn-cs"/>
            </a:rPr>
            <a:t>gebruikt om de energiebesparing van uw eigen ketenmaatregelen te berekenen, mits het rekenvoorbeeld van toepassing is uiteraard. Om de energiebesparing te berekenen vult u de groen gemarkeerde velden in van de voorbeeldberekening. Dit documt is te gebruiken om de besparing in de gehele EEP periode (2017-2020) te berekenen en kan ook gebruikt worden voor de jaarlijkse monitoring. Hieronder volgt een toelichting op het gebruik.</a:t>
          </a: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Energiewinst</a:t>
          </a:r>
        </a:p>
        <a:p>
          <a:pPr algn="l" rtl="0">
            <a:defRPr sz="1000"/>
          </a:pPr>
          <a:r>
            <a:rPr lang="nl-NL" sz="1000" b="0" i="1" u="none" strike="noStrike" baseline="0">
              <a:solidFill>
                <a:schemeClr val="tx1">
                  <a:lumMod val="75000"/>
                  <a:lumOff val="25000"/>
                </a:schemeClr>
              </a:solidFill>
              <a:latin typeface="Trebuchet MS" panose="020B0603020202020204" pitchFamily="34" charset="0"/>
              <a:cs typeface="Arial"/>
            </a:rPr>
            <a:t>De energiewinst wordt berekend door de nieuwe situatie (na invoering van de ketenmaatregel) te vergelijken met de referentiesituatie. Voor de berekening moeten eerst gegevens worden verzameld. Deze gegevens zullen deels afkomstig zijn uit uw eigen bedrijf, maar u zult ook gebruik moeten maken van andere bronnen zoals literatuur of informatie van andere bedrijven.</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u="none" strike="noStrike" baseline="0">
              <a:solidFill>
                <a:schemeClr val="tx1">
                  <a:lumMod val="75000"/>
                  <a:lumOff val="25000"/>
                </a:schemeClr>
              </a:solidFill>
              <a:latin typeface="Trebuchet MS" panose="020B0603020202020204" pitchFamily="34" charset="0"/>
              <a:cs typeface="Arial"/>
            </a:rPr>
            <a:t>Bij het doorrekenen van ketenmaatregelen wordt gebruik gemaakt van GER-waarden (Gross Energy Requirement). De GER-waarden hoeft u niet zelf te berekenen. RVO heeft een database ter beschikking waarin een groot aantal materialen en processen basiswaarden zijn opgenomen. Deze is te downloaden via </a:t>
          </a:r>
          <a:r>
            <a:rPr lang="nl-NL" sz="1000" b="0" i="0" u="none" strike="noStrike" baseline="0">
              <a:solidFill>
                <a:schemeClr val="accent2">
                  <a:lumMod val="75000"/>
                </a:schemeClr>
              </a:solidFill>
              <a:latin typeface="Trebuchet MS" panose="020B0603020202020204" pitchFamily="34" charset="0"/>
              <a:cs typeface="Arial"/>
            </a:rPr>
            <a:t>http://www.rvo.nl/subsidies-regelingen/monitoring-mja3/mee. </a:t>
          </a:r>
          <a:r>
            <a:rPr lang="nl-NL" sz="1000" b="0" i="0" u="none" strike="noStrike" baseline="0">
              <a:solidFill>
                <a:schemeClr val="tx1">
                  <a:lumMod val="75000"/>
                  <a:lumOff val="25000"/>
                </a:schemeClr>
              </a:solidFill>
              <a:latin typeface="Trebuchet MS" panose="020B0603020202020204" pitchFamily="34" charset="0"/>
              <a:ea typeface="+mn-ea"/>
              <a:cs typeface="Arial"/>
            </a:rPr>
            <a:t>De GER-waarden lijst is te vinden onder "downloads". </a:t>
          </a:r>
          <a:r>
            <a:rPr lang="nl-NL" sz="1000" b="0" i="0" u="none" strike="noStrike" baseline="0">
              <a:solidFill>
                <a:schemeClr val="tx1">
                  <a:lumMod val="75000"/>
                  <a:lumOff val="25000"/>
                </a:schemeClr>
              </a:solidFill>
              <a:latin typeface="Trebuchet MS" panose="020B0603020202020204" pitchFamily="34" charset="0"/>
              <a:cs typeface="Arial"/>
            </a:rPr>
            <a:t>Hier vindt u ook meer toelichting over de GER-waarden en het gebruik ervan. </a:t>
          </a:r>
          <a:r>
            <a:rPr lang="nl-NL" sz="1000" b="0" i="0" baseline="0">
              <a:solidFill>
                <a:schemeClr val="tx1">
                  <a:lumMod val="75000"/>
                  <a:lumOff val="25000"/>
                </a:schemeClr>
              </a:solidFill>
              <a:effectLst/>
              <a:latin typeface="Trebuchet MS" panose="020B0603020202020204" pitchFamily="34" charset="0"/>
              <a:ea typeface="+mn-ea"/>
              <a:cs typeface="+mn-cs"/>
            </a:rPr>
            <a:t>De meest relevante GER-waarden voor kunststof hebben we toegevoegd aan dit document, op het laatste tabblad, deze GER-waarden worden gebruikt in de voorbeeldberekeningen in dit bestand. Bij het invullen van het e-mjv kunt u de besparing in TJp invullen, dit betekent: TJ primaire energie. De uitkomst van de berekeningen in dit document zijn berekend in TJ primaire energie.</a:t>
          </a:r>
          <a:endParaRPr lang="nl-NL">
            <a:solidFill>
              <a:schemeClr val="tx1">
                <a:lumMod val="75000"/>
                <a:lumOff val="25000"/>
              </a:schemeClr>
            </a:solidFill>
            <a:effectLst/>
            <a:latin typeface="Trebuchet MS" panose="020B0603020202020204" pitchFamily="34" charset="0"/>
          </a:endParaRP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Verdeling</a:t>
          </a:r>
        </a:p>
        <a:p>
          <a:pPr algn="l" rtl="0">
            <a:defRPr sz="1000"/>
          </a:pPr>
          <a:r>
            <a:rPr lang="nl-NL" sz="1000" b="0" i="1" u="none" strike="noStrike" baseline="0">
              <a:solidFill>
                <a:schemeClr val="tx1">
                  <a:lumMod val="75000"/>
                  <a:lumOff val="25000"/>
                </a:schemeClr>
              </a:solidFill>
              <a:latin typeface="Trebuchet MS" panose="020B0603020202020204" pitchFamily="34" charset="0"/>
              <a:cs typeface="Arial"/>
            </a:rPr>
            <a:t>Ketenmaatregelen worden uitgevoerd door diverse partijen. Om dubbeltellingen te voorkomen dient de energie-omvang van de totale maatregel daarom verdeeld te worden tussen de betrokken partijen. De besparing wordt in principe gelijk verdeeld tussen de betrokkenen. Van deze gelijke verdeling mag worden </a:t>
          </a:r>
          <a:r>
            <a:rPr lang="nl-NL" sz="1000" b="0" i="1" u="none" strike="noStrike" baseline="0">
              <a:solidFill>
                <a:schemeClr val="tx1">
                  <a:lumMod val="75000"/>
                  <a:lumOff val="25000"/>
                </a:schemeClr>
              </a:solidFill>
              <a:latin typeface="Trebuchet MS" panose="020B0603020202020204" pitchFamily="34" charset="0"/>
              <a:ea typeface="+mn-ea"/>
              <a:cs typeface="Arial"/>
            </a:rPr>
            <a:t>afgeweken, </a:t>
          </a:r>
          <a:r>
            <a:rPr lang="nl-NL" sz="1000" b="0" i="1" u="none" strike="noStrike" baseline="0">
              <a:solidFill>
                <a:schemeClr val="tx1">
                  <a:lumMod val="75000"/>
                  <a:lumOff val="25000"/>
                </a:schemeClr>
              </a:solidFill>
              <a:latin typeface="Trebuchet MS" panose="020B0603020202020204" pitchFamily="34" charset="0"/>
              <a:cs typeface="Arial"/>
            </a:rPr>
            <a:t>maar dit dient dan wel te worden </a:t>
          </a:r>
          <a:r>
            <a:rPr lang="nl-NL" sz="1000" b="0" i="1" u="none" strike="noStrike" baseline="0">
              <a:solidFill>
                <a:schemeClr val="tx1">
                  <a:lumMod val="75000"/>
                  <a:lumOff val="25000"/>
                </a:schemeClr>
              </a:solidFill>
              <a:latin typeface="Trebuchet MS" panose="020B0603020202020204" pitchFamily="34" charset="0"/>
              <a:ea typeface="+mn-ea"/>
              <a:cs typeface="Arial"/>
            </a:rPr>
            <a:t>onderbouwd</a:t>
          </a:r>
          <a:r>
            <a:rPr lang="nl-NL" sz="1000" b="0" i="1" u="none" strike="noStrike" baseline="0">
              <a:solidFill>
                <a:schemeClr val="tx1">
                  <a:lumMod val="75000"/>
                  <a:lumOff val="25000"/>
                </a:schemeClr>
              </a:solidFill>
              <a:latin typeface="Trebuchet MS" panose="020B0603020202020204" pitchFamily="34" charset="0"/>
              <a:cs typeface="Arial"/>
            </a:rPr>
            <a:t>. </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solidFill>
                <a:schemeClr val="tx1">
                  <a:lumMod val="75000"/>
                  <a:lumOff val="25000"/>
                </a:schemeClr>
              </a:solidFill>
              <a:effectLst/>
              <a:latin typeface="Trebuchet MS" panose="020B0603020202020204" pitchFamily="34" charset="0"/>
              <a:ea typeface="+mn-ea"/>
              <a:cs typeface="+mn-cs"/>
            </a:rPr>
            <a:t>Bij de voorbeeldberekeningen in dit bestand is steeds aangegeven wat de juiste verdeling is. Controleert u wel of dit ook voor uw situatie klopt. Zie voor meer informatie de "Handreiking Monitoring" op </a:t>
          </a:r>
          <a:r>
            <a:rPr lang="nl-NL" sz="1000" b="0" i="0" baseline="0">
              <a:solidFill>
                <a:schemeClr val="accent2">
                  <a:lumMod val="75000"/>
                </a:schemeClr>
              </a:solidFill>
              <a:effectLst/>
              <a:latin typeface="Trebuchet MS" panose="020B0603020202020204" pitchFamily="34" charset="0"/>
              <a:ea typeface="+mn-ea"/>
              <a:cs typeface="+mn-cs"/>
            </a:rPr>
            <a:t>http://www.rvo.nl/subsidies-regelingen/monitoring-mja3-convenant</a:t>
          </a:r>
          <a:r>
            <a:rPr lang="nl-NL" sz="1000" b="0" i="0" baseline="0">
              <a:solidFill>
                <a:schemeClr val="tx1">
                  <a:lumMod val="75000"/>
                  <a:lumOff val="25000"/>
                </a:schemeClr>
              </a:solidFill>
              <a:effectLst/>
              <a:latin typeface="Trebuchet MS" panose="020B0603020202020204" pitchFamily="34" charset="0"/>
              <a:ea typeface="+mn-ea"/>
              <a:cs typeface="+mn-cs"/>
            </a:rPr>
            <a:t>. De handreiking is te vinden onder 'downloads'.</a:t>
          </a:r>
          <a:endParaRPr lang="nl-NL">
            <a:solidFill>
              <a:schemeClr val="tx1">
                <a:lumMod val="75000"/>
                <a:lumOff val="25000"/>
              </a:schemeClr>
            </a:solidFill>
            <a:effectLst/>
            <a:latin typeface="Trebuchet MS" panose="020B0603020202020204" pitchFamily="34" charset="0"/>
          </a:endParaRP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Energieterugwinning</a:t>
          </a:r>
        </a:p>
        <a:p>
          <a:pPr algn="l" rtl="0">
            <a:defRPr sz="1000"/>
          </a:pPr>
          <a:r>
            <a:rPr lang="nl-NL" sz="1000" b="0" i="1" u="none" strike="noStrike" baseline="0">
              <a:solidFill>
                <a:schemeClr val="tx1">
                  <a:lumMod val="75000"/>
                  <a:lumOff val="25000"/>
                </a:schemeClr>
              </a:solidFill>
              <a:latin typeface="Trebuchet MS" panose="020B0603020202020204" pitchFamily="34" charset="0"/>
              <a:cs typeface="Arial"/>
            </a:rPr>
            <a:t>Het is mogelijk op verschillende manieren energie terug te winnen uit afval. Dit kan bijvoorbeeld door het te verbranden in een afvalverbrandingsinstallatie die elektriciteit genereert, door bijstook in een cementoven, of door recycling. Bij verandering van situatie, bijvoorbeeld bij recycling in plaats van verbranding, moet rekening worden gehouden met de energie die al werd teruggewonnen. Het wegvallen van deze energieterugwinning (de 'ontsparing') moet worden afgetrokken van de gerealiseerde energieterugwinning in de nieuwe situatie. </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Zoals gezegd zijn er verschillende manieren van energieterugwinning, die verschillen in besparing van primaire energie. In de GER-Waarden lijst is voor een aantal materialen berekend hoeveel het verwerken van afval oplevert bij energieterugwinning via een AVI (Afval Verbrandings Installatie) of een cementoven.</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Het is mogelijk dat uit de berekening een negatief getal komt. In dat geval betekent het dat de maatregel tot een ontsparing leidt. Dat betekent dat er een verlies </a:t>
          </a:r>
          <a:r>
            <a:rPr lang="nl-NL" sz="1000" b="0" i="0" u="none" strike="noStrike" baseline="0">
              <a:solidFill>
                <a:schemeClr val="tx1">
                  <a:lumMod val="75000"/>
                  <a:lumOff val="25000"/>
                </a:schemeClr>
              </a:solidFill>
              <a:latin typeface="Trebuchet MS" panose="020B0603020202020204" pitchFamily="34" charset="0"/>
              <a:ea typeface="+mn-ea"/>
              <a:cs typeface="Arial"/>
            </a:rPr>
            <a:t>aan energie-efficiëntie is.</a:t>
          </a:r>
        </a:p>
        <a:p>
          <a:pPr algn="l" rtl="0">
            <a:defRPr sz="1000"/>
          </a:pPr>
          <a:endParaRPr lang="nl-NL" sz="1000" b="1" i="0" u="none" strike="noStrike" baseline="0">
            <a:solidFill>
              <a:schemeClr val="accent1"/>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Hoe opnemen in het e-MJV?</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Vul de juiste maatregel en de berekende besparing in bij energiebesparingsmaatregelen als 'ketenmaatregel'. Belangrijk is ook om uw berekening toe te voegen aan het e-MJV, bij voorkeur in een exceldocument. U kunt de ingevulde voorbeeldmaatregel opslaan en toevoegen aan het e-MJV.</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Indien een maatregel van kracht blijft, kunt u in het e-MJV de maatregel continueren. Indien u een bestaande ketenmaatregel aanpast, waardoor er meer energiewinst ontstaat, kunt u aangeven dat u de maatregel intensiveert. U dient dan de extra besparing op te geven.</a:t>
          </a:r>
        </a:p>
        <a:p>
          <a:pPr algn="l" rtl="0">
            <a:defRPr sz="1000"/>
          </a:pPr>
          <a:endParaRPr lang="nl-NL" sz="1100" b="0" i="0" u="none" strike="noStrike" baseline="0">
            <a:solidFill>
              <a:schemeClr val="accent1"/>
            </a:solidFill>
            <a:latin typeface="Trebuchet MS" panose="020B0603020202020204" pitchFamily="34" charset="0"/>
            <a:cs typeface="Arial"/>
          </a:endParaRPr>
        </a:p>
        <a:p>
          <a:pPr algn="l" rtl="0">
            <a:defRPr sz="1000"/>
          </a:pPr>
          <a:r>
            <a:rPr lang="nl-NL" sz="1200" b="1" i="0" u="none" strike="noStrike" baseline="0">
              <a:solidFill>
                <a:schemeClr val="accent1"/>
              </a:solidFill>
              <a:latin typeface="Trebuchet MS" panose="020B0603020202020204" pitchFamily="34" charset="0"/>
              <a:cs typeface="Arial"/>
            </a:rPr>
            <a:t>Achtergrond informatie</a:t>
          </a:r>
        </a:p>
        <a:p>
          <a:pPr algn="l" rtl="0">
            <a:defRPr sz="1000"/>
          </a:pPr>
          <a:endParaRPr lang="nl-NL" sz="1200" b="0" i="0" u="none" strike="noStrike" baseline="0">
            <a:solidFill>
              <a:schemeClr val="accent1"/>
            </a:solidFill>
            <a:latin typeface="Trebuchet MS" panose="020B0603020202020204" pitchFamily="34" charset="0"/>
            <a:cs typeface="Arial"/>
          </a:endParaRPr>
        </a:p>
        <a:p>
          <a:pPr algn="l" rtl="0">
            <a:defRPr sz="1000"/>
          </a:pPr>
          <a:r>
            <a:rPr lang="nl-NL" sz="1000" b="0" i="0" u="none" strike="noStrike" baseline="0">
              <a:solidFill>
                <a:schemeClr val="accent1"/>
              </a:solidFill>
              <a:latin typeface="Trebuchet MS" panose="020B0603020202020204" pitchFamily="34" charset="0"/>
              <a:cs typeface="Arial"/>
            </a:rPr>
            <a:t>Wat is de referentiesituatie?</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De referentiesituatie is gedefinieerd als "het niveau van energieverbruik dat zou zijn opgetreden wanneer de nieuwe ketenmaatregel niet zou zijn uitgevoerd."</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0" i="0" u="none" strike="noStrike" baseline="0">
              <a:solidFill>
                <a:schemeClr val="accent1"/>
              </a:solidFill>
              <a:latin typeface="Trebuchet MS" panose="020B0603020202020204" pitchFamily="34" charset="0"/>
              <a:cs typeface="Arial"/>
            </a:rPr>
            <a:t>Wat is de nieuwe situatie?</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De nieuwe situatie is gedefinieerd als "het niveau van energieverbruik dat zal plaatsvinden door het toepassen van de nieuwe ketenmaatregel."</a:t>
          </a:r>
        </a:p>
        <a:p>
          <a:pPr algn="l" rtl="0">
            <a:defRPr sz="1000"/>
          </a:pPr>
          <a:endParaRPr lang="nl-NL" sz="1000" b="0" i="0" u="none" strike="noStrike" baseline="0">
            <a:solidFill>
              <a:srgbClr val="000000"/>
            </a:solidFill>
            <a:latin typeface="Trebuchet MS" panose="020B0603020202020204" pitchFamily="34" charset="0"/>
            <a:cs typeface="Arial"/>
          </a:endParaRPr>
        </a:p>
        <a:p>
          <a:pPr algn="l" rtl="0">
            <a:defRPr sz="1000"/>
          </a:pPr>
          <a:r>
            <a:rPr lang="nl-NL" sz="1000" b="0" i="0" u="none" strike="noStrike" baseline="0">
              <a:solidFill>
                <a:schemeClr val="accent1"/>
              </a:solidFill>
              <a:latin typeface="Trebuchet MS" panose="020B0603020202020204" pitchFamily="34" charset="0"/>
              <a:cs typeface="Arial"/>
            </a:rPr>
            <a:t>Wat is een GER-waarde?</a:t>
          </a: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solidFill>
                <a:schemeClr val="tx1">
                  <a:lumMod val="75000"/>
                  <a:lumOff val="25000"/>
                </a:schemeClr>
              </a:solidFill>
              <a:effectLst/>
              <a:latin typeface="Trebuchet MS" panose="020B0603020202020204" pitchFamily="34" charset="0"/>
              <a:ea typeface="+mn-ea"/>
              <a:cs typeface="+mn-cs"/>
            </a:rPr>
            <a:t>Deze waarde, uitgedrukt in GJ/ton of MJ/kg, geeft de totale  primaire energie aan die met een materiaal of proces gemoeid is. Primaire energie is de energie-inhoud van energiebronnen in hun natuurlijke vorm, voordat enige technische omzetting heeft plaatsgevonden. De GER-waarde bestaat uit twee componenten: een aandeel hernieuwbare energie en een aandeel niet-hernieuwbare energie. Niet-hernieuwbare energie is energie die tot uitputting van bronnen leidt en daarmee tot een milieu-impact. Hernieuwbare energie is afkomstig van onuitputtelijke bronnen en leiden niet tot vervuiling omdat deze of altijd aanwezig is (wind, zon, water, geothermisch), of de calorische waarde van een hernieuwbaar gewas vertegenwoordigt.</a:t>
          </a:r>
          <a:endParaRPr lang="nl-NL">
            <a:solidFill>
              <a:schemeClr val="tx1">
                <a:lumMod val="75000"/>
                <a:lumOff val="25000"/>
              </a:schemeClr>
            </a:solidFill>
            <a:effectLst/>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1</xdr:row>
      <xdr:rowOff>3810</xdr:rowOff>
    </xdr:from>
    <xdr:to>
      <xdr:col>14</xdr:col>
      <xdr:colOff>516256</xdr:colOff>
      <xdr:row>35</xdr:row>
      <xdr:rowOff>123825</xdr:rowOff>
    </xdr:to>
    <xdr:sp macro="" textlink="">
      <xdr:nvSpPr>
        <xdr:cNvPr id="15469" name="Text Box 1"/>
        <xdr:cNvSpPr txBox="1">
          <a:spLocks noChangeArrowheads="1"/>
        </xdr:cNvSpPr>
      </xdr:nvSpPr>
      <xdr:spPr bwMode="auto">
        <a:xfrm>
          <a:off x="276226" y="165735"/>
          <a:ext cx="8164830" cy="562546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nl-NL" sz="1400" b="1" i="0" u="none" strike="noStrike" baseline="0">
              <a:solidFill>
                <a:schemeClr val="accent1"/>
              </a:solidFill>
              <a:latin typeface="Trebuchet MS" panose="020B0603020202020204" pitchFamily="34" charset="0"/>
              <a:cs typeface="Arial"/>
            </a:rPr>
            <a:t>Subcategorieën ketenmaatregelen</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In het e-mjv worden subcategorieën gehanteerd voor de ketenmaatregelen. Het is van belang om de maatregel onder de juiste subcategorie te plaatsten. Om de juiste subcategorie te kunnen kiezen is hieronder een toelichting gegeven van de verschillende subcatergorieën.  Bij elke voorbeeldberekening in dit document wordt de subcategorie aangegeven, bovenin het tabblad, net onder de titel.</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Onderstaande subcategorieën worden gehanteerd:</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 </a:t>
          </a:r>
        </a:p>
        <a:p>
          <a:pPr algn="l" rtl="0">
            <a:defRPr sz="1000"/>
          </a:pPr>
          <a:r>
            <a:rPr lang="nl-NL" sz="1000" b="1" i="0" u="none" strike="noStrike" baseline="0">
              <a:solidFill>
                <a:schemeClr val="accent1"/>
              </a:solidFill>
              <a:latin typeface="Trebuchet MS" panose="020B0603020202020204" pitchFamily="34" charset="0"/>
              <a:cs typeface="Arial"/>
            </a:rPr>
            <a:t>Materiaalbesparing </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Minder indirect energiegebruik per eenheid product door de inzet van minder of energie-extensievere grondstoffen en/of andere hulpstoffen én door een beperking van uitval en afkeur als gevolg van aanpassingen in het productieproces.</a:t>
          </a:r>
        </a:p>
        <a:p>
          <a:pPr algn="l" rtl="0">
            <a:defRPr sz="1000"/>
          </a:pPr>
          <a:endParaRPr lang="nl-NL" sz="1000" b="1" i="0" u="none" strike="noStrike" baseline="0">
            <a:solidFill>
              <a:schemeClr val="accent1"/>
            </a:solidFill>
            <a:latin typeface="Trebuchet MS" panose="020B0603020202020204" pitchFamily="34" charset="0"/>
            <a:ea typeface="+mn-ea"/>
            <a:cs typeface="Arial"/>
          </a:endParaRPr>
        </a:p>
        <a:p>
          <a:pPr rtl="0"/>
          <a:r>
            <a:rPr lang="nl-NL" sz="1000" b="1" i="0" u="none" strike="noStrike" baseline="0">
              <a:solidFill>
                <a:schemeClr val="accent1"/>
              </a:solidFill>
              <a:latin typeface="Trebuchet MS" panose="020B0603020202020204" pitchFamily="34" charset="0"/>
              <a:ea typeface="+mn-ea"/>
              <a:cs typeface="Arial"/>
            </a:rPr>
            <a:t>Optimalisatie van distributie</a:t>
          </a:r>
        </a:p>
        <a:p>
          <a:pPr rtl="0"/>
          <a:r>
            <a:rPr lang="nl-NL" sz="1000" b="0" i="0" u="none" strike="noStrike" baseline="0">
              <a:solidFill>
                <a:schemeClr val="tx1">
                  <a:lumMod val="75000"/>
                  <a:lumOff val="25000"/>
                </a:schemeClr>
              </a:solidFill>
              <a:latin typeface="Trebuchet MS" panose="020B0603020202020204" pitchFamily="34" charset="0"/>
              <a:ea typeface="+mn-ea"/>
              <a:cs typeface="Arial"/>
            </a:rPr>
            <a:t>Minder transportenergie per eenheid product.</a:t>
          </a:r>
        </a:p>
        <a:p>
          <a:pPr algn="l" rtl="0">
            <a:defRPr sz="1000"/>
          </a:pPr>
          <a:endParaRPr lang="nl-NL" sz="1000" b="1" i="0" u="none" strike="noStrike" baseline="0">
            <a:solidFill>
              <a:schemeClr val="accent1"/>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Samenwerking op locatie (voorzover niet binnen de eigen inrichting) </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Minder direct energiegebruik per eenheid product door lager energiegebruik (buiten de inrichting) van bijvoorbeeld utilities door samenwerking met andere partijen in de omgeving. Bijvoorbeeld een gezamenlijke wkk-installatie of het gebruik van restwarmte.</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Optimalisatie van functievervulling </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De functie (behoefte) die een product vervult in kaart brengen en op basis hiervan komen tot een nieuwe en tegelijkertijd energie-efficiëntere vorm van functievervulling.</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marL="0" indent="0" algn="l" rtl="0">
            <a:defRPr sz="1000"/>
          </a:pPr>
          <a:r>
            <a:rPr lang="nl-NL" sz="1000" b="1" i="0" u="none" strike="noStrike" baseline="0">
              <a:solidFill>
                <a:schemeClr val="accent1"/>
              </a:solidFill>
              <a:latin typeface="Trebuchet MS" panose="020B0603020202020204" pitchFamily="34" charset="0"/>
              <a:ea typeface="+mn-ea"/>
              <a:cs typeface="Arial"/>
            </a:rPr>
            <a:t>Vermindering van energiegebruik tijdens productgebruik </a:t>
          </a:r>
        </a:p>
        <a:p>
          <a:pPr rtl="0"/>
          <a:r>
            <a:rPr lang="nl-NL" sz="1000" b="0" i="0" u="none" strike="noStrike" baseline="0">
              <a:solidFill>
                <a:schemeClr val="tx1">
                  <a:lumMod val="75000"/>
                  <a:lumOff val="25000"/>
                </a:schemeClr>
              </a:solidFill>
              <a:latin typeface="Trebuchet MS" panose="020B0603020202020204" pitchFamily="34" charset="0"/>
              <a:ea typeface="+mn-ea"/>
              <a:cs typeface="Arial"/>
            </a:rPr>
            <a:t>Minder direct en/of indirect energiegebruik per eenheid product gedurende de feitelijke levensduur van het product als gevolg van een innovatieve aanpassing van het ontwerp of toepassing van het product.</a:t>
          </a:r>
        </a:p>
        <a:p>
          <a:pPr algn="l" rtl="0">
            <a:defRPr sz="1000"/>
          </a:pPr>
          <a:endParaRPr lang="nl-NL" sz="1000" b="0" i="0" u="none" strike="noStrike" baseline="0">
            <a:solidFill>
              <a:schemeClr val="tx1">
                <a:lumMod val="75000"/>
                <a:lumOff val="25000"/>
              </a:schemeClr>
            </a:solidFill>
            <a:latin typeface="Trebuchet MS" panose="020B0603020202020204" pitchFamily="34" charset="0"/>
            <a:ea typeface="+mn-ea"/>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Optimalisatie van levensduur </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Minder direct en/of indirect energiegebruik per eenheid product door optimale keuze van de levensduur van een product. Gekozen kan worden om bijvoorbeeld de feitelijke levensduur zo dicht mogelijk aan te laten sluiten bij de technische levensduur (mode/trend bestendig ontwerpen van product) of de levensduur van een oud product voortijdig af te breken in verband met het op de markt komen van innovatieve producten die aanzienlijk minder energie consumeren tijdens gebruik.</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a:p>
          <a:pPr algn="l" rtl="0">
            <a:defRPr sz="1000"/>
          </a:pPr>
          <a:r>
            <a:rPr lang="nl-NL" sz="1000" b="1" i="0" u="none" strike="noStrike" baseline="0">
              <a:solidFill>
                <a:schemeClr val="accent1"/>
              </a:solidFill>
              <a:latin typeface="Trebuchet MS" panose="020B0603020202020204" pitchFamily="34" charset="0"/>
              <a:cs typeface="Arial"/>
            </a:rPr>
            <a:t>Optimalisatie van (gedeeltelijke) productafdanking / productherverwerking </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a. Maatregelen ter minimalisering van de energie benodigd per eenheid product voor de subketen van inzameling, transport, verbranden, vergassen of storten van het afgedankte product</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b. Maatregelen op het gebied van recycling waardoor de energie-inhoud van de, in het afgedankte product, gebruikte materialen met relatief weinig energiegebruik weer beschikbaar komen op de markt.</a:t>
          </a:r>
        </a:p>
        <a:p>
          <a:pPr algn="l" rtl="0">
            <a:defRPr sz="1000"/>
          </a:pPr>
          <a:r>
            <a:rPr lang="nl-NL" sz="1000" b="0" i="0" u="none" strike="noStrike" baseline="0">
              <a:solidFill>
                <a:schemeClr val="tx1">
                  <a:lumMod val="75000"/>
                  <a:lumOff val="25000"/>
                </a:schemeClr>
              </a:solidFill>
              <a:latin typeface="Trebuchet MS" panose="020B0603020202020204" pitchFamily="34" charset="0"/>
              <a:cs typeface="Arial"/>
            </a:rPr>
            <a:t> </a:t>
          </a:r>
        </a:p>
        <a:p>
          <a:pPr algn="l" rtl="0">
            <a:defRPr sz="1000"/>
          </a:pPr>
          <a:endParaRPr lang="nl-NL" sz="1000" b="0" i="0" u="none" strike="noStrike" baseline="0">
            <a:solidFill>
              <a:schemeClr val="tx1">
                <a:lumMod val="75000"/>
                <a:lumOff val="25000"/>
              </a:schemeClr>
            </a:solidFill>
            <a:latin typeface="Trebuchet MS" panose="020B0603020202020204" pitchFamily="34" charset="0"/>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26670</xdr:rowOff>
    </xdr:from>
    <xdr:to>
      <xdr:col>14</xdr:col>
      <xdr:colOff>171450</xdr:colOff>
      <xdr:row>8</xdr:row>
      <xdr:rowOff>19050</xdr:rowOff>
    </xdr:to>
    <xdr:sp macro="" textlink="">
      <xdr:nvSpPr>
        <xdr:cNvPr id="2" name="Text Box 1"/>
        <xdr:cNvSpPr txBox="1">
          <a:spLocks noChangeArrowheads="1"/>
        </xdr:cNvSpPr>
      </xdr:nvSpPr>
      <xdr:spPr bwMode="auto">
        <a:xfrm>
          <a:off x="247650" y="217170"/>
          <a:ext cx="7848600" cy="1325880"/>
        </a:xfrm>
        <a:prstGeom prst="rect">
          <a:avLst/>
        </a:prstGeom>
        <a:solidFill>
          <a:srgbClr val="FFFFFF"/>
        </a:solidFill>
        <a:ln w="9525">
          <a:solidFill>
            <a:srgbClr val="000000"/>
          </a:solidFill>
          <a:miter lim="800000"/>
          <a:headEnd/>
          <a:tailEnd/>
        </a:ln>
      </xdr:spPr>
      <xdr:txBody>
        <a:bodyPr vertOverflow="clip" wrap="square" lIns="36576" tIns="27432" rIns="0" bIns="0" anchor="t"/>
        <a:lstStyle/>
        <a:p>
          <a:pPr algn="l" rtl="0">
            <a:defRPr sz="1000"/>
          </a:pPr>
          <a:r>
            <a:rPr lang="nl-NL" sz="1400" b="1" i="0" u="none" strike="noStrike" baseline="0">
              <a:solidFill>
                <a:schemeClr val="accent1"/>
              </a:solidFill>
              <a:latin typeface="Trebuchet MS" panose="020B0603020202020204" pitchFamily="34" charset="0"/>
              <a:cs typeface="Arial"/>
            </a:rPr>
            <a:t>Colofon</a:t>
          </a:r>
          <a:endParaRPr lang="nl-NL" sz="1400" b="0" i="0" u="none" strike="noStrike" baseline="0">
            <a:solidFill>
              <a:schemeClr val="accent1"/>
            </a:solidFill>
            <a:latin typeface="Trebuchet MS" panose="020B0603020202020204" pitchFamily="34" charset="0"/>
            <a:cs typeface="Arial"/>
          </a:endParaRPr>
        </a:p>
        <a:p>
          <a:pPr algn="l" rtl="0">
            <a:defRPr sz="1000"/>
          </a:pPr>
          <a:endParaRPr lang="nl-NL" sz="1000" b="0" i="0" u="none" strike="noStrike" baseline="0">
            <a:solidFill>
              <a:srgbClr val="000000"/>
            </a:solidFill>
            <a:latin typeface="Trebuchet MS" panose="020B0603020202020204" pitchFamily="34" charset="0"/>
            <a:cs typeface="Arial"/>
          </a:endParaRPr>
        </a:p>
        <a:p>
          <a:pPr algn="l" rtl="0">
            <a:defRPr sz="1000"/>
          </a:pPr>
          <a:r>
            <a:rPr lang="nl-NL" sz="1000" b="0" i="0" u="none" strike="noStrike" baseline="0">
              <a:solidFill>
                <a:srgbClr val="000000"/>
              </a:solidFill>
              <a:latin typeface="Trebuchet MS" panose="020B0603020202020204" pitchFamily="34" charset="0"/>
              <a:cs typeface="Arial"/>
            </a:rPr>
            <a:t>NRK en RVO hebben ondersteuning geboden bij het tot stand komen van dit document. </a:t>
          </a:r>
        </a:p>
        <a:p>
          <a:pPr algn="l" rtl="0">
            <a:defRPr sz="1000"/>
          </a:pPr>
          <a:r>
            <a:rPr lang="nl-NL" sz="1000" b="0" i="0" u="none" strike="noStrike" baseline="0">
              <a:solidFill>
                <a:srgbClr val="000000"/>
              </a:solidFill>
              <a:latin typeface="Trebuchet MS" panose="020B0603020202020204" pitchFamily="34" charset="0"/>
              <a:cs typeface="Arial"/>
            </a:rPr>
            <a:t>De basis voor dit document is door Beco gelegd in 2009.</a:t>
          </a:r>
        </a:p>
        <a:p>
          <a:pPr algn="l" rtl="0">
            <a:defRPr sz="1000"/>
          </a:pPr>
          <a:endParaRPr lang="nl-NL" sz="1000" b="0" i="0" u="none" strike="noStrike" baseline="0">
            <a:solidFill>
              <a:srgbClr val="000000"/>
            </a:solidFill>
            <a:latin typeface="Trebuchet MS" panose="020B0603020202020204" pitchFamily="34" charset="0"/>
            <a:cs typeface="Arial"/>
          </a:endParaRPr>
        </a:p>
        <a:p>
          <a:pPr algn="l" rtl="0">
            <a:defRPr sz="1000"/>
          </a:pPr>
          <a:r>
            <a:rPr lang="nl-NL" sz="1000" b="0" i="0" u="none" strike="noStrike" baseline="0">
              <a:solidFill>
                <a:srgbClr val="000000"/>
              </a:solidFill>
              <a:latin typeface="Trebuchet MS" panose="020B0603020202020204" pitchFamily="34" charset="0"/>
              <a:cs typeface="Arial"/>
            </a:rPr>
            <a:t>De laatste update is verzorgd door CE Delft, 15 december 2016.</a:t>
          </a:r>
        </a:p>
        <a:p>
          <a:pPr algn="l" rtl="0">
            <a:defRPr sz="1000"/>
          </a:pPr>
          <a:r>
            <a:rPr lang="nl-NL" sz="1000" b="0" i="0" u="none" strike="noStrike" baseline="0">
              <a:solidFill>
                <a:srgbClr val="000000"/>
              </a:solidFill>
              <a:latin typeface="Trebuchet MS" panose="020B0603020202020204" pitchFamily="34" charset="0"/>
              <a:cs typeface="Arial"/>
            </a:rPr>
            <a:t>Publicatienummer 16.2i89.131</a:t>
          </a:r>
        </a:p>
        <a:p>
          <a:pPr algn="l" rtl="0">
            <a:defRPr sz="1000"/>
          </a:pPr>
          <a:r>
            <a:rPr lang="nl-NL" sz="1000" b="0" i="0" u="none" strike="noStrike" baseline="0">
              <a:solidFill>
                <a:srgbClr val="000000"/>
              </a:solidFill>
              <a:latin typeface="Trebuchet MS" panose="020B0603020202020204" pitchFamily="34" charset="0"/>
              <a:cs typeface="Arial"/>
            </a:rPr>
            <a:t>Contact: ce@ce.nl</a:t>
          </a:r>
        </a:p>
      </xdr:txBody>
    </xdr:sp>
    <xdr:clientData/>
  </xdr:twoCellAnchor>
</xdr:wsDr>
</file>

<file path=xl/theme/theme1.xml><?xml version="1.0" encoding="utf-8"?>
<a:theme xmlns:a="http://schemas.openxmlformats.org/drawingml/2006/main" name="Kantoorthema">
  <a:themeElements>
    <a:clrScheme name="CE Huisstijl def.">
      <a:dk1>
        <a:sysClr val="windowText" lastClr="000000"/>
      </a:dk1>
      <a:lt1>
        <a:sysClr val="window" lastClr="FFFFFF"/>
      </a:lt1>
      <a:dk2>
        <a:srgbClr val="7F7F7F"/>
      </a:dk2>
      <a:lt2>
        <a:srgbClr val="D9D9D9"/>
      </a:lt2>
      <a:accent1>
        <a:srgbClr val="009DD8"/>
      </a:accent1>
      <a:accent2>
        <a:srgbClr val="8DD3FF"/>
      </a:accent2>
      <a:accent3>
        <a:srgbClr val="FFDB00"/>
      </a:accent3>
      <a:accent4>
        <a:srgbClr val="009133"/>
      </a:accent4>
      <a:accent5>
        <a:srgbClr val="70C82F"/>
      </a:accent5>
      <a:accent6>
        <a:srgbClr val="344893"/>
      </a:accent6>
      <a:hlink>
        <a:srgbClr val="009DD8"/>
      </a:hlink>
      <a:folHlink>
        <a:srgbClr val="009DD8"/>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rvo.nl/subsidies-regelingen/monitoring-mja3/mee"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tabColor indexed="44"/>
    <pageSetUpPr fitToPage="1"/>
  </sheetPr>
  <dimension ref="E1:P55"/>
  <sheetViews>
    <sheetView tabSelected="1" workbookViewId="0"/>
  </sheetViews>
  <sheetFormatPr defaultColWidth="8.85546875" defaultRowHeight="15"/>
  <cols>
    <col min="1" max="1" width="3.7109375" style="105" customWidth="1"/>
    <col min="2" max="14" width="8.85546875" style="105"/>
    <col min="15" max="15" width="3.28515625" style="105" customWidth="1"/>
    <col min="16" max="16384" width="8.85546875" style="105"/>
  </cols>
  <sheetData>
    <row r="1" spans="5:16">
      <c r="E1" s="106"/>
    </row>
    <row r="2" spans="5:16">
      <c r="P2" s="107"/>
    </row>
    <row r="3" spans="5:16">
      <c r="P3" s="99"/>
    </row>
    <row r="4" spans="5:16">
      <c r="P4" s="99"/>
    </row>
    <row r="5" spans="5:16">
      <c r="P5" s="99"/>
    </row>
    <row r="6" spans="5:16">
      <c r="P6" s="99"/>
    </row>
    <row r="53" spans="16:16">
      <c r="P53" s="99"/>
    </row>
    <row r="54" spans="16:16">
      <c r="P54" s="99"/>
    </row>
    <row r="55" spans="16:16">
      <c r="P55" s="99"/>
    </row>
  </sheetData>
  <phoneticPr fontId="3" type="noConversion"/>
  <pageMargins left="0.74803149606299213" right="0.74803149606299213" top="0.98425196850393704" bottom="0.98425196850393704" header="0.51181102362204722" footer="0.51181102362204722"/>
  <pageSetup paperSize="9" scale="74" fitToHeight="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70"/>
  <sheetViews>
    <sheetView workbookViewId="0"/>
  </sheetViews>
  <sheetFormatPr defaultColWidth="8.85546875" defaultRowHeight="12.75"/>
  <cols>
    <col min="1" max="2" width="3.7109375" style="297" customWidth="1"/>
    <col min="3" max="3" width="43.28515625" style="297" customWidth="1"/>
    <col min="4" max="4" width="21.42578125" style="297" customWidth="1"/>
    <col min="5" max="5" width="18.28515625" style="297" customWidth="1"/>
    <col min="6" max="6" width="12.28515625" style="297" customWidth="1"/>
    <col min="7" max="7" width="23.85546875" style="297" customWidth="1"/>
    <col min="8" max="8" width="3.7109375" style="297" customWidth="1"/>
    <col min="9" max="16384" width="8.85546875" style="297"/>
  </cols>
  <sheetData>
    <row r="1" spans="1:17" ht="15.75" thickBot="1">
      <c r="A1" s="142"/>
      <c r="B1" s="142"/>
      <c r="C1" s="142"/>
      <c r="D1" s="142"/>
      <c r="E1" s="142"/>
      <c r="F1" s="142"/>
      <c r="G1" s="142"/>
      <c r="H1" s="142"/>
      <c r="I1" s="142"/>
    </row>
    <row r="2" spans="1:17" ht="15">
      <c r="A2" s="142"/>
      <c r="B2" s="143"/>
      <c r="C2" s="144"/>
      <c r="D2" s="144"/>
      <c r="E2" s="145"/>
      <c r="F2" s="145"/>
      <c r="G2" s="145"/>
      <c r="H2" s="146"/>
      <c r="I2" s="142"/>
    </row>
    <row r="3" spans="1:17" ht="15">
      <c r="A3" s="142"/>
      <c r="B3" s="147"/>
      <c r="C3" s="148" t="s">
        <v>125</v>
      </c>
      <c r="D3" s="149"/>
      <c r="E3" s="150"/>
      <c r="F3" s="149"/>
      <c r="G3" s="149"/>
      <c r="H3" s="151"/>
      <c r="I3" s="142"/>
    </row>
    <row r="4" spans="1:17" ht="31.9" customHeight="1">
      <c r="A4" s="142"/>
      <c r="B4" s="147"/>
      <c r="C4" s="153" t="s">
        <v>109</v>
      </c>
      <c r="D4" s="519" t="s">
        <v>227</v>
      </c>
      <c r="E4" s="520"/>
      <c r="F4" s="520"/>
      <c r="G4" s="521"/>
      <c r="H4" s="151"/>
      <c r="I4" s="142"/>
    </row>
    <row r="5" spans="1:17" ht="15" customHeight="1">
      <c r="A5" s="142"/>
      <c r="B5" s="147"/>
      <c r="C5" s="154" t="s">
        <v>110</v>
      </c>
      <c r="D5" s="428" t="s">
        <v>111</v>
      </c>
      <c r="E5" s="428"/>
      <c r="F5" s="428"/>
      <c r="G5" s="428"/>
      <c r="H5" s="151"/>
      <c r="I5" s="142"/>
    </row>
    <row r="6" spans="1:17" ht="14.25" customHeight="1">
      <c r="A6" s="142"/>
      <c r="B6" s="147"/>
      <c r="C6" s="154" t="s">
        <v>112</v>
      </c>
      <c r="D6" s="429" t="s">
        <v>174</v>
      </c>
      <c r="E6" s="425"/>
      <c r="F6" s="425"/>
      <c r="G6" s="426"/>
      <c r="H6" s="151"/>
      <c r="I6" s="142"/>
    </row>
    <row r="7" spans="1:17" ht="14.25" customHeight="1">
      <c r="A7" s="142"/>
      <c r="B7" s="147"/>
      <c r="C7" s="154" t="s">
        <v>120</v>
      </c>
      <c r="D7" s="156" t="s">
        <v>177</v>
      </c>
      <c r="E7" s="157"/>
      <c r="F7" s="157"/>
      <c r="G7" s="158"/>
      <c r="H7" s="151"/>
      <c r="I7" s="142"/>
    </row>
    <row r="8" spans="1:17" ht="17.25" customHeight="1">
      <c r="A8" s="142"/>
      <c r="B8" s="147"/>
      <c r="C8" s="154" t="s">
        <v>385</v>
      </c>
      <c r="D8" s="430">
        <v>2017</v>
      </c>
      <c r="E8" s="431"/>
      <c r="F8" s="431"/>
      <c r="G8" s="432"/>
      <c r="H8" s="151"/>
      <c r="I8" s="142"/>
    </row>
    <row r="9" spans="1:17" ht="15">
      <c r="A9" s="142"/>
      <c r="B9" s="147"/>
      <c r="C9" s="154" t="s">
        <v>113</v>
      </c>
      <c r="D9" s="423">
        <v>0.5</v>
      </c>
      <c r="E9" s="423"/>
      <c r="F9" s="423"/>
      <c r="G9" s="423"/>
      <c r="H9" s="151"/>
      <c r="I9" s="142"/>
    </row>
    <row r="10" spans="1:17" ht="14.25" customHeight="1">
      <c r="A10" s="142"/>
      <c r="B10" s="147"/>
      <c r="C10" s="154" t="s">
        <v>114</v>
      </c>
      <c r="D10" s="423">
        <v>1</v>
      </c>
      <c r="E10" s="423"/>
      <c r="F10" s="423"/>
      <c r="G10" s="423"/>
      <c r="H10" s="151"/>
      <c r="I10" s="142"/>
    </row>
    <row r="11" spans="1:17" ht="15" customHeight="1">
      <c r="A11" s="142"/>
      <c r="B11" s="147"/>
      <c r="C11" s="154" t="s">
        <v>115</v>
      </c>
      <c r="D11" s="424">
        <f>F50</f>
        <v>-9.9999999999999395E-3</v>
      </c>
      <c r="E11" s="425"/>
      <c r="F11" s="425"/>
      <c r="G11" s="426"/>
      <c r="H11" s="151"/>
      <c r="I11" s="142"/>
    </row>
    <row r="12" spans="1:17" ht="15" customHeight="1">
      <c r="A12" s="142"/>
      <c r="B12" s="147"/>
      <c r="C12" s="154" t="s">
        <v>126</v>
      </c>
      <c r="D12" s="424">
        <f>D9*D11</f>
        <v>-4.9999999999999697E-3</v>
      </c>
      <c r="E12" s="425"/>
      <c r="F12" s="425"/>
      <c r="G12" s="426"/>
      <c r="H12" s="151"/>
      <c r="I12" s="142"/>
    </row>
    <row r="13" spans="1:17" ht="17.25" customHeight="1">
      <c r="A13" s="142"/>
      <c r="B13" s="147"/>
      <c r="C13" s="154" t="s">
        <v>291</v>
      </c>
      <c r="D13" s="424">
        <f>(IF(D8&lt;2017,4,2021-D8))*D11</f>
        <v>-3.9999999999999758E-2</v>
      </c>
      <c r="E13" s="425"/>
      <c r="F13" s="425"/>
      <c r="G13" s="426"/>
      <c r="H13" s="151"/>
      <c r="I13" s="142"/>
    </row>
    <row r="14" spans="1:17" ht="14.25" customHeight="1">
      <c r="A14" s="142"/>
      <c r="B14" s="147"/>
      <c r="C14" s="154" t="s">
        <v>127</v>
      </c>
      <c r="D14" s="424">
        <f>D13*D9</f>
        <v>-1.9999999999999879E-2</v>
      </c>
      <c r="E14" s="425"/>
      <c r="F14" s="425"/>
      <c r="G14" s="426"/>
      <c r="H14" s="151"/>
      <c r="I14" s="142"/>
    </row>
    <row r="15" spans="1:17" ht="14.25" customHeight="1" thickBot="1">
      <c r="A15" s="142"/>
      <c r="B15" s="160"/>
      <c r="C15" s="161"/>
      <c r="D15" s="162"/>
      <c r="E15" s="163"/>
      <c r="F15" s="163"/>
      <c r="G15" s="163"/>
      <c r="H15" s="164"/>
      <c r="I15" s="142"/>
    </row>
    <row r="16" spans="1:17" s="142" customFormat="1" ht="15.75" thickBot="1">
      <c r="A16" s="152"/>
      <c r="B16" s="155"/>
      <c r="C16" s="165"/>
      <c r="D16" s="166"/>
      <c r="E16" s="167"/>
      <c r="F16" s="167"/>
      <c r="G16" s="167"/>
      <c r="H16" s="165"/>
      <c r="I16" s="152"/>
      <c r="J16" s="152"/>
      <c r="K16" s="152"/>
      <c r="L16" s="152"/>
      <c r="M16" s="152"/>
      <c r="N16" s="152"/>
      <c r="O16" s="152"/>
      <c r="P16" s="152"/>
      <c r="Q16" s="152"/>
    </row>
    <row r="17" spans="2:17" s="142" customFormat="1" ht="16.5">
      <c r="B17" s="168"/>
      <c r="C17" s="169"/>
      <c r="D17" s="169"/>
      <c r="E17" s="170"/>
      <c r="F17" s="171"/>
      <c r="G17" s="171"/>
      <c r="H17" s="172"/>
    </row>
    <row r="18" spans="2:17" s="142" customFormat="1" ht="66.599999999999994" customHeight="1">
      <c r="B18" s="173"/>
      <c r="C18" s="464" t="s">
        <v>261</v>
      </c>
      <c r="D18" s="464"/>
      <c r="E18" s="464"/>
      <c r="F18" s="464"/>
      <c r="G18" s="174"/>
      <c r="H18" s="175"/>
    </row>
    <row r="19" spans="2:17" s="142" customFormat="1" ht="166.5" customHeight="1">
      <c r="B19" s="173"/>
      <c r="C19" s="465" t="s">
        <v>300</v>
      </c>
      <c r="D19" s="465"/>
      <c r="E19" s="465"/>
      <c r="F19" s="465"/>
      <c r="G19" s="465"/>
      <c r="H19" s="175"/>
    </row>
    <row r="20" spans="2:17" s="142" customFormat="1" ht="16.5">
      <c r="B20" s="176"/>
      <c r="C20" s="177"/>
      <c r="D20" s="178"/>
      <c r="E20" s="179"/>
      <c r="F20" s="179"/>
      <c r="G20" s="179"/>
      <c r="H20" s="151"/>
      <c r="J20" s="152"/>
      <c r="K20" s="152"/>
      <c r="L20" s="152"/>
      <c r="M20" s="152"/>
      <c r="N20" s="152"/>
      <c r="O20" s="152"/>
      <c r="P20" s="152"/>
      <c r="Q20" s="152"/>
    </row>
    <row r="21" spans="2:17" s="142" customFormat="1" ht="21.75" customHeight="1" thickBot="1">
      <c r="B21" s="173"/>
      <c r="C21" s="180" t="s">
        <v>129</v>
      </c>
      <c r="D21" s="181"/>
      <c r="E21" s="181"/>
      <c r="F21" s="181"/>
      <c r="G21" s="181"/>
      <c r="H21" s="175"/>
    </row>
    <row r="22" spans="2:17" s="142" customFormat="1" ht="27.75" customHeight="1">
      <c r="B22" s="176"/>
      <c r="C22" s="182"/>
      <c r="D22" s="298" t="s">
        <v>118</v>
      </c>
      <c r="E22" s="298" t="s">
        <v>267</v>
      </c>
      <c r="F22" s="184" t="s">
        <v>0</v>
      </c>
      <c r="G22" s="185" t="s">
        <v>3</v>
      </c>
      <c r="H22" s="175"/>
    </row>
    <row r="23" spans="2:17" s="142" customFormat="1" ht="16.5">
      <c r="B23" s="176"/>
      <c r="C23" s="190" t="s">
        <v>157</v>
      </c>
      <c r="D23" s="274">
        <v>50000</v>
      </c>
      <c r="E23" s="274">
        <v>50000</v>
      </c>
      <c r="F23" s="299" t="s">
        <v>51</v>
      </c>
      <c r="G23" s="288" t="s">
        <v>220</v>
      </c>
      <c r="H23" s="175"/>
    </row>
    <row r="24" spans="2:17" s="142" customFormat="1" ht="16.5">
      <c r="B24" s="186"/>
      <c r="C24" s="196" t="s">
        <v>184</v>
      </c>
      <c r="D24" s="333" t="s">
        <v>11</v>
      </c>
      <c r="E24" s="334" t="s">
        <v>62</v>
      </c>
      <c r="F24" s="328"/>
      <c r="G24" s="288" t="s">
        <v>220</v>
      </c>
      <c r="H24" s="175"/>
    </row>
    <row r="25" spans="2:17" s="142" customFormat="1" ht="30" customHeight="1">
      <c r="B25" s="176"/>
      <c r="C25" s="197" t="s">
        <v>178</v>
      </c>
      <c r="D25" s="275">
        <v>10</v>
      </c>
      <c r="E25" s="275">
        <v>10</v>
      </c>
      <c r="F25" s="198" t="s">
        <v>52</v>
      </c>
      <c r="G25" s="288" t="s">
        <v>220</v>
      </c>
      <c r="H25" s="175"/>
    </row>
    <row r="26" spans="2:17" s="142" customFormat="1" ht="16.5">
      <c r="B26" s="176"/>
      <c r="C26" s="190" t="s">
        <v>187</v>
      </c>
      <c r="D26" s="514">
        <f>VLOOKUP(D24,'GER-waarden'!B6:C25,2,FALSE)</f>
        <v>75.099999999999994</v>
      </c>
      <c r="E26" s="514"/>
      <c r="F26" s="202" t="s">
        <v>1</v>
      </c>
      <c r="G26" s="206" t="s">
        <v>68</v>
      </c>
      <c r="H26" s="175"/>
    </row>
    <row r="27" spans="2:17" s="142" customFormat="1" ht="17.25" thickBot="1">
      <c r="B27" s="176"/>
      <c r="C27" s="209" t="s">
        <v>284</v>
      </c>
      <c r="D27" s="463">
        <f>VLOOKUP(E24,'GER-waarden'!B6:D25,2,FALSE)</f>
        <v>76.099999999999994</v>
      </c>
      <c r="E27" s="463"/>
      <c r="F27" s="210" t="s">
        <v>1</v>
      </c>
      <c r="G27" s="211" t="s">
        <v>68</v>
      </c>
      <c r="H27" s="175"/>
    </row>
    <row r="28" spans="2:17" s="142" customFormat="1" ht="16.5">
      <c r="B28" s="176"/>
      <c r="C28" s="212"/>
      <c r="D28" s="212"/>
      <c r="E28" s="212"/>
      <c r="F28" s="212"/>
      <c r="G28" s="212"/>
      <c r="H28" s="175"/>
    </row>
    <row r="29" spans="2:17" s="142" customFormat="1" ht="17.25" thickBot="1">
      <c r="B29" s="176"/>
      <c r="C29" s="213" t="s">
        <v>130</v>
      </c>
      <c r="D29" s="214"/>
      <c r="E29" s="214"/>
      <c r="F29" s="215"/>
      <c r="G29" s="216"/>
      <c r="H29" s="175"/>
    </row>
    <row r="30" spans="2:17" s="142" customFormat="1" ht="23.25" customHeight="1">
      <c r="B30" s="176"/>
      <c r="C30" s="217"/>
      <c r="D30" s="218" t="s">
        <v>118</v>
      </c>
      <c r="E30" s="218" t="s">
        <v>270</v>
      </c>
      <c r="F30" s="219" t="s">
        <v>0</v>
      </c>
      <c r="G30" s="220" t="s">
        <v>3</v>
      </c>
      <c r="H30" s="175"/>
    </row>
    <row r="31" spans="2:17" s="142" customFormat="1" ht="14.25" customHeight="1">
      <c r="B31" s="176"/>
      <c r="C31" s="221" t="s">
        <v>133</v>
      </c>
      <c r="D31" s="296">
        <v>0</v>
      </c>
      <c r="E31" s="296">
        <v>0</v>
      </c>
      <c r="F31" s="287" t="s">
        <v>131</v>
      </c>
      <c r="G31" s="288" t="s">
        <v>220</v>
      </c>
      <c r="H31" s="175"/>
    </row>
    <row r="32" spans="2:17" s="142" customFormat="1" ht="14.25" customHeight="1">
      <c r="B32" s="176"/>
      <c r="C32" s="289" t="s">
        <v>134</v>
      </c>
      <c r="D32" s="296">
        <v>0</v>
      </c>
      <c r="E32" s="296">
        <v>0</v>
      </c>
      <c r="F32" s="225" t="s">
        <v>132</v>
      </c>
      <c r="G32" s="288" t="s">
        <v>220</v>
      </c>
      <c r="H32" s="175"/>
    </row>
    <row r="33" spans="2:18" s="142" customFormat="1" ht="14.25" customHeight="1">
      <c r="B33" s="176"/>
      <c r="C33" s="337" t="s">
        <v>229</v>
      </c>
      <c r="D33" s="455">
        <v>11.3</v>
      </c>
      <c r="E33" s="456"/>
      <c r="F33" s="290" t="s">
        <v>82</v>
      </c>
      <c r="G33" s="228" t="s">
        <v>68</v>
      </c>
      <c r="H33" s="175"/>
      <c r="J33" s="229"/>
    </row>
    <row r="34" spans="2:18" s="142" customFormat="1" ht="14.25" customHeight="1">
      <c r="B34" s="176"/>
      <c r="C34" s="338" t="s">
        <v>230</v>
      </c>
      <c r="D34" s="457">
        <v>45.2</v>
      </c>
      <c r="E34" s="458"/>
      <c r="F34" s="292" t="s">
        <v>81</v>
      </c>
      <c r="G34" s="232" t="s">
        <v>68</v>
      </c>
      <c r="H34" s="175"/>
      <c r="J34" s="229"/>
      <c r="L34" s="152"/>
    </row>
    <row r="35" spans="2:18" s="142" customFormat="1" ht="16.5">
      <c r="B35" s="176"/>
      <c r="C35" s="233" t="s">
        <v>193</v>
      </c>
      <c r="D35" s="214"/>
      <c r="E35" s="214"/>
      <c r="F35" s="215"/>
      <c r="G35" s="216"/>
      <c r="H35" s="175"/>
    </row>
    <row r="36" spans="2:18" s="142" customFormat="1" ht="17.25" customHeight="1">
      <c r="B36" s="176"/>
      <c r="C36" s="212"/>
      <c r="D36" s="234"/>
      <c r="E36" s="234"/>
      <c r="F36" s="234"/>
      <c r="G36" s="214"/>
      <c r="H36" s="175"/>
    </row>
    <row r="37" spans="2:18" s="142" customFormat="1" ht="17.25" customHeight="1" thickBot="1">
      <c r="B37" s="176"/>
      <c r="C37" s="235" t="s">
        <v>75</v>
      </c>
      <c r="D37" s="234"/>
      <c r="E37" s="234"/>
      <c r="F37" s="234"/>
      <c r="G37" s="214"/>
      <c r="H37" s="175"/>
    </row>
    <row r="38" spans="2:18" s="142" customFormat="1" ht="16.5">
      <c r="B38" s="176"/>
      <c r="C38" s="236" t="s">
        <v>260</v>
      </c>
      <c r="D38" s="237"/>
      <c r="E38" s="237"/>
      <c r="F38" s="238"/>
      <c r="G38" s="239"/>
      <c r="H38" s="175"/>
    </row>
    <row r="39" spans="2:18" s="142" customFormat="1" ht="31.15" customHeight="1">
      <c r="B39" s="176"/>
      <c r="C39" s="495" t="s">
        <v>41</v>
      </c>
      <c r="D39" s="496"/>
      <c r="E39" s="496"/>
      <c r="F39" s="251">
        <f>D25*D26</f>
        <v>751</v>
      </c>
      <c r="G39" s="311" t="s">
        <v>76</v>
      </c>
      <c r="H39" s="175"/>
    </row>
    <row r="40" spans="2:18" s="142" customFormat="1" ht="44.45" customHeight="1">
      <c r="B40" s="176"/>
      <c r="C40" s="483" t="s">
        <v>190</v>
      </c>
      <c r="D40" s="484"/>
      <c r="E40" s="484"/>
      <c r="F40" s="310">
        <f>((D32*D33)+(D31*D34))/1000</f>
        <v>0</v>
      </c>
      <c r="G40" s="316" t="s">
        <v>76</v>
      </c>
      <c r="H40" s="175"/>
    </row>
    <row r="41" spans="2:18" s="142" customFormat="1" ht="36" customHeight="1" thickBot="1">
      <c r="B41" s="176"/>
      <c r="C41" s="470" t="s">
        <v>28</v>
      </c>
      <c r="D41" s="471"/>
      <c r="E41" s="471"/>
      <c r="F41" s="330">
        <f>(F39+F40)/D23</f>
        <v>1.502E-2</v>
      </c>
      <c r="G41" s="315" t="s">
        <v>165</v>
      </c>
      <c r="H41" s="175"/>
    </row>
    <row r="42" spans="2:18" s="142" customFormat="1" ht="16.5">
      <c r="B42" s="176"/>
      <c r="C42" s="445" t="s">
        <v>282</v>
      </c>
      <c r="D42" s="446"/>
      <c r="E42" s="446"/>
      <c r="F42" s="245"/>
      <c r="G42" s="246"/>
      <c r="H42" s="175"/>
      <c r="R42" s="204"/>
    </row>
    <row r="43" spans="2:18" s="142" customFormat="1" ht="34.15" customHeight="1">
      <c r="B43" s="176"/>
      <c r="C43" s="479" t="s">
        <v>281</v>
      </c>
      <c r="D43" s="480"/>
      <c r="E43" s="480"/>
      <c r="F43" s="251">
        <f>(E25*D27)</f>
        <v>761</v>
      </c>
      <c r="G43" s="309" t="s">
        <v>76</v>
      </c>
      <c r="H43" s="175"/>
    </row>
    <row r="44" spans="2:18" s="142" customFormat="1" ht="37.15" customHeight="1">
      <c r="B44" s="176"/>
      <c r="C44" s="483" t="s">
        <v>273</v>
      </c>
      <c r="D44" s="484"/>
      <c r="E44" s="484"/>
      <c r="F44" s="310">
        <f>((E32*D33)+(E31*D34))/1000</f>
        <v>0</v>
      </c>
      <c r="G44" s="316" t="s">
        <v>76</v>
      </c>
      <c r="H44" s="175"/>
    </row>
    <row r="45" spans="2:18" s="142" customFormat="1" ht="34.15" customHeight="1" thickBot="1">
      <c r="B45" s="176"/>
      <c r="C45" s="470" t="s">
        <v>274</v>
      </c>
      <c r="D45" s="471"/>
      <c r="E45" s="471"/>
      <c r="F45" s="326">
        <f>(F43+F44)/E23</f>
        <v>1.5219999999999999E-2</v>
      </c>
      <c r="G45" s="243" t="s">
        <v>165</v>
      </c>
      <c r="H45" s="318"/>
    </row>
    <row r="46" spans="2:18" s="142" customFormat="1" ht="16.5">
      <c r="B46" s="176"/>
      <c r="C46" s="319" t="s">
        <v>74</v>
      </c>
      <c r="D46" s="237"/>
      <c r="E46" s="237"/>
      <c r="F46" s="245"/>
      <c r="G46" s="239"/>
      <c r="H46" s="175"/>
    </row>
    <row r="47" spans="2:18" s="142" customFormat="1" ht="29.45" customHeight="1">
      <c r="B47" s="176"/>
      <c r="C47" s="515" t="s">
        <v>275</v>
      </c>
      <c r="D47" s="516"/>
      <c r="E47" s="516"/>
      <c r="F47" s="327">
        <f>F41-F45</f>
        <v>-1.9999999999999879E-4</v>
      </c>
      <c r="G47" s="309" t="s">
        <v>165</v>
      </c>
      <c r="H47" s="175"/>
      <c r="J47" s="152"/>
    </row>
    <row r="48" spans="2:18" s="142" customFormat="1" ht="28.9" customHeight="1" thickBot="1">
      <c r="B48" s="176"/>
      <c r="C48" s="517" t="s">
        <v>24</v>
      </c>
      <c r="D48" s="518"/>
      <c r="E48" s="331"/>
      <c r="F48" s="314">
        <f>F47*E23</f>
        <v>-9.9999999999999396</v>
      </c>
      <c r="G48" s="243" t="s">
        <v>76</v>
      </c>
      <c r="H48" s="175"/>
    </row>
    <row r="49" spans="2:10" s="142" customFormat="1" ht="17.25" thickBot="1">
      <c r="B49" s="176"/>
      <c r="C49" s="212"/>
      <c r="D49" s="214"/>
      <c r="E49" s="214"/>
      <c r="F49" s="255"/>
      <c r="G49" s="214"/>
      <c r="H49" s="175"/>
    </row>
    <row r="50" spans="2:10" s="142" customFormat="1" ht="18" customHeight="1" thickBot="1">
      <c r="B50" s="176"/>
      <c r="C50" s="256" t="s">
        <v>259</v>
      </c>
      <c r="D50" s="214"/>
      <c r="E50" s="257"/>
      <c r="F50" s="258">
        <f>F48/1000</f>
        <v>-9.9999999999999395E-3</v>
      </c>
      <c r="G50" s="259" t="s">
        <v>77</v>
      </c>
      <c r="H50" s="175"/>
    </row>
    <row r="51" spans="2:10" s="142" customFormat="1" ht="16.5">
      <c r="B51" s="176"/>
      <c r="C51" s="212"/>
      <c r="D51" s="260"/>
      <c r="E51" s="449"/>
      <c r="F51" s="450"/>
      <c r="G51" s="450"/>
      <c r="H51" s="175"/>
    </row>
    <row r="52" spans="2:10" s="142" customFormat="1" ht="18" customHeight="1">
      <c r="B52" s="176"/>
      <c r="C52" s="261" t="s">
        <v>128</v>
      </c>
      <c r="D52" s="262"/>
      <c r="E52" s="263"/>
      <c r="F52" s="262"/>
      <c r="G52" s="264"/>
      <c r="H52" s="175"/>
    </row>
    <row r="53" spans="2:10" s="142" customFormat="1" ht="43.9" customHeight="1">
      <c r="B53" s="176"/>
      <c r="C53" s="438" t="s">
        <v>192</v>
      </c>
      <c r="D53" s="436"/>
      <c r="E53" s="436"/>
      <c r="F53" s="436"/>
      <c r="G53" s="437"/>
      <c r="H53" s="175"/>
    </row>
    <row r="54" spans="2:10" s="142" customFormat="1" ht="16.5">
      <c r="B54" s="176"/>
      <c r="C54" s="265"/>
      <c r="D54" s="266"/>
      <c r="E54" s="266"/>
      <c r="F54" s="266"/>
      <c r="G54" s="266"/>
      <c r="H54" s="175"/>
    </row>
    <row r="55" spans="2:10" s="142" customFormat="1" ht="16.5">
      <c r="B55" s="176"/>
      <c r="C55" s="261" t="s">
        <v>135</v>
      </c>
      <c r="D55" s="262"/>
      <c r="E55" s="267"/>
      <c r="F55" s="268"/>
      <c r="G55" s="262"/>
      <c r="H55" s="175"/>
    </row>
    <row r="56" spans="2:10" s="142" customFormat="1" ht="91.5" customHeight="1">
      <c r="B56" s="269"/>
      <c r="C56" s="435" t="s">
        <v>137</v>
      </c>
      <c r="D56" s="436"/>
      <c r="E56" s="436"/>
      <c r="F56" s="436"/>
      <c r="G56" s="437"/>
      <c r="H56" s="175"/>
      <c r="J56" s="270"/>
    </row>
    <row r="57" spans="2:10" s="142" customFormat="1" ht="15" customHeight="1" thickBot="1">
      <c r="B57" s="271"/>
      <c r="C57" s="272"/>
      <c r="D57" s="272"/>
      <c r="E57" s="272"/>
      <c r="F57" s="272"/>
      <c r="G57" s="272"/>
      <c r="H57" s="273"/>
    </row>
    <row r="58" spans="2:10" s="142" customFormat="1" ht="15" customHeight="1"/>
    <row r="59" spans="2:10" ht="14.25" customHeight="1">
      <c r="B59" s="336"/>
      <c r="C59" s="336"/>
      <c r="H59" s="336"/>
    </row>
    <row r="60" spans="2:10" ht="29.25" customHeight="1"/>
    <row r="61" spans="2:10" ht="14.25" customHeight="1"/>
    <row r="62" spans="2:10" ht="14.25" customHeight="1"/>
    <row r="63" spans="2:10" ht="14.25" customHeight="1"/>
    <row r="64" spans="2:10" ht="14.25" customHeight="1"/>
    <row r="65" spans="1:9" ht="21" customHeight="1"/>
    <row r="66" spans="1:9">
      <c r="A66" s="336"/>
      <c r="I66" s="336"/>
    </row>
    <row r="67" spans="1:9" ht="27.75" customHeight="1">
      <c r="A67" s="336"/>
      <c r="I67" s="336"/>
    </row>
    <row r="70" spans="1:9" ht="37.5" customHeight="1"/>
  </sheetData>
  <protectedRanges>
    <protectedRange sqref="D23:E23 D25:E27" name="Bereik1_4_3"/>
  </protectedRanges>
  <mergeCells count="28">
    <mergeCell ref="C56:G56"/>
    <mergeCell ref="C39:E39"/>
    <mergeCell ref="C40:E40"/>
    <mergeCell ref="C42:E42"/>
    <mergeCell ref="C43:E43"/>
    <mergeCell ref="C44:E44"/>
    <mergeCell ref="C47:E47"/>
    <mergeCell ref="C48:D48"/>
    <mergeCell ref="E51:G51"/>
    <mergeCell ref="C53:G53"/>
    <mergeCell ref="C45:E45"/>
    <mergeCell ref="C19:G19"/>
    <mergeCell ref="D4:G4"/>
    <mergeCell ref="D5:G5"/>
    <mergeCell ref="D6:G6"/>
    <mergeCell ref="D8:G8"/>
    <mergeCell ref="D9:G9"/>
    <mergeCell ref="D10:G10"/>
    <mergeCell ref="D11:G11"/>
    <mergeCell ref="D12:G12"/>
    <mergeCell ref="D13:G13"/>
    <mergeCell ref="D14:G14"/>
    <mergeCell ref="C18:F18"/>
    <mergeCell ref="D33:E33"/>
    <mergeCell ref="D34:E34"/>
    <mergeCell ref="D26:E26"/>
    <mergeCell ref="D27:E27"/>
    <mergeCell ref="C41:E41"/>
  </mergeCells>
  <pageMargins left="0.70866141732283472" right="0.70866141732283472" top="0.74803149606299213" bottom="0.74803149606299213" header="0.31496062992125984" footer="0.31496062992125984"/>
  <pageSetup paperSize="9" scale="70" fitToHeight="2" orientation="portrait" r:id="rId1"/>
  <extLst>
    <ext xmlns:x14="http://schemas.microsoft.com/office/spreadsheetml/2009/9/main" uri="{CCE6A557-97BC-4b89-ADB6-D9C93CAAB3DF}">
      <x14:dataValidations xmlns:xm="http://schemas.microsoft.com/office/excel/2006/main" count="2">
        <x14:dataValidation type="list" allowBlank="1" showInputMessage="1">
          <x14:formula1>
            <xm:f>'GER-waarden'!$B$173:$B$183</xm:f>
          </x14:formula1>
          <xm:sqref>D24</xm:sqref>
        </x14:dataValidation>
        <x14:dataValidation type="list" allowBlank="1" showInputMessage="1">
          <x14:formula1>
            <xm:f>'GER-waarden'!$B$201:$B$202</xm:f>
          </x14:formula1>
          <xm:sqref>E24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R73"/>
  <sheetViews>
    <sheetView workbookViewId="0"/>
  </sheetViews>
  <sheetFormatPr defaultColWidth="8.85546875" defaultRowHeight="12.75"/>
  <cols>
    <col min="1" max="2" width="3.7109375" style="297" customWidth="1"/>
    <col min="3" max="3" width="55.7109375" style="297" customWidth="1"/>
    <col min="4" max="4" width="21.42578125" style="297" customWidth="1"/>
    <col min="5" max="5" width="18.28515625" style="297" customWidth="1"/>
    <col min="6" max="6" width="15.140625" style="297" customWidth="1"/>
    <col min="7" max="7" width="23.85546875" style="297" customWidth="1"/>
    <col min="8" max="8" width="3.7109375" style="297" customWidth="1"/>
    <col min="9" max="16384" width="8.85546875" style="297"/>
  </cols>
  <sheetData>
    <row r="2" spans="1:9" s="142" customFormat="1" ht="15">
      <c r="B2" s="339" t="s">
        <v>231</v>
      </c>
      <c r="C2" s="340"/>
      <c r="D2" s="340"/>
      <c r="E2" s="340"/>
      <c r="F2" s="341"/>
    </row>
    <row r="3" spans="1:9" s="142" customFormat="1" ht="15">
      <c r="B3" s="342" t="s">
        <v>232</v>
      </c>
      <c r="C3" s="343"/>
      <c r="D3" s="343"/>
      <c r="E3" s="343"/>
      <c r="F3" s="344"/>
    </row>
    <row r="4" spans="1:9" s="142" customFormat="1" ht="15.75" thickBot="1">
      <c r="B4" s="152"/>
      <c r="C4" s="152"/>
      <c r="D4" s="152"/>
    </row>
    <row r="5" spans="1:9" ht="15">
      <c r="A5" s="142"/>
      <c r="B5" s="143"/>
      <c r="C5" s="144"/>
      <c r="D5" s="144"/>
      <c r="E5" s="145"/>
      <c r="F5" s="145"/>
      <c r="G5" s="145"/>
      <c r="H5" s="146"/>
      <c r="I5" s="142"/>
    </row>
    <row r="6" spans="1:9" ht="15">
      <c r="A6" s="142"/>
      <c r="B6" s="147"/>
      <c r="C6" s="148" t="s">
        <v>125</v>
      </c>
      <c r="D6" s="149"/>
      <c r="E6" s="150"/>
      <c r="F6" s="149"/>
      <c r="G6" s="149"/>
      <c r="H6" s="151"/>
      <c r="I6" s="142"/>
    </row>
    <row r="7" spans="1:9" ht="31.9" customHeight="1">
      <c r="A7" s="142"/>
      <c r="B7" s="147"/>
      <c r="C7" s="153" t="s">
        <v>109</v>
      </c>
      <c r="D7" s="519" t="s">
        <v>227</v>
      </c>
      <c r="E7" s="520"/>
      <c r="F7" s="520"/>
      <c r="G7" s="521"/>
      <c r="H7" s="151"/>
      <c r="I7" s="142"/>
    </row>
    <row r="8" spans="1:9" ht="15" customHeight="1">
      <c r="A8" s="142"/>
      <c r="B8" s="147"/>
      <c r="C8" s="154" t="s">
        <v>110</v>
      </c>
      <c r="D8" s="428" t="s">
        <v>111</v>
      </c>
      <c r="E8" s="428"/>
      <c r="F8" s="428"/>
      <c r="G8" s="428"/>
      <c r="H8" s="151"/>
      <c r="I8" s="142"/>
    </row>
    <row r="9" spans="1:9" ht="14.25" customHeight="1">
      <c r="A9" s="142"/>
      <c r="B9" s="147"/>
      <c r="C9" s="154" t="s">
        <v>112</v>
      </c>
      <c r="D9" s="429" t="s">
        <v>174</v>
      </c>
      <c r="E9" s="425"/>
      <c r="F9" s="425"/>
      <c r="G9" s="426"/>
      <c r="H9" s="151"/>
      <c r="I9" s="142"/>
    </row>
    <row r="10" spans="1:9" ht="14.25" customHeight="1">
      <c r="A10" s="142"/>
      <c r="B10" s="147"/>
      <c r="C10" s="154" t="s">
        <v>120</v>
      </c>
      <c r="D10" s="156" t="s">
        <v>177</v>
      </c>
      <c r="E10" s="157"/>
      <c r="F10" s="157"/>
      <c r="G10" s="158"/>
      <c r="H10" s="151"/>
      <c r="I10" s="142"/>
    </row>
    <row r="11" spans="1:9" ht="17.25" customHeight="1">
      <c r="A11" s="142"/>
      <c r="B11" s="147"/>
      <c r="C11" s="154" t="s">
        <v>385</v>
      </c>
      <c r="D11" s="430">
        <v>2017</v>
      </c>
      <c r="E11" s="431"/>
      <c r="F11" s="431"/>
      <c r="G11" s="432"/>
      <c r="H11" s="151"/>
      <c r="I11" s="142"/>
    </row>
    <row r="12" spans="1:9" ht="15">
      <c r="A12" s="142"/>
      <c r="B12" s="147"/>
      <c r="C12" s="154" t="s">
        <v>113</v>
      </c>
      <c r="D12" s="423">
        <v>0.5</v>
      </c>
      <c r="E12" s="423"/>
      <c r="F12" s="423"/>
      <c r="G12" s="423"/>
      <c r="H12" s="151"/>
      <c r="I12" s="142"/>
    </row>
    <row r="13" spans="1:9" ht="14.25" customHeight="1">
      <c r="A13" s="142"/>
      <c r="B13" s="147"/>
      <c r="C13" s="154" t="s">
        <v>114</v>
      </c>
      <c r="D13" s="423">
        <v>1</v>
      </c>
      <c r="E13" s="423"/>
      <c r="F13" s="423"/>
      <c r="G13" s="423"/>
      <c r="H13" s="151"/>
      <c r="I13" s="142"/>
    </row>
    <row r="14" spans="1:9" ht="15" customHeight="1">
      <c r="A14" s="142"/>
      <c r="B14" s="147"/>
      <c r="C14" s="154" t="s">
        <v>234</v>
      </c>
      <c r="D14" s="424">
        <f>F53</f>
        <v>-14.999999999999996</v>
      </c>
      <c r="E14" s="425"/>
      <c r="F14" s="425"/>
      <c r="G14" s="426"/>
      <c r="H14" s="151"/>
      <c r="I14" s="142"/>
    </row>
    <row r="15" spans="1:9" ht="15" customHeight="1">
      <c r="A15" s="142"/>
      <c r="B15" s="147"/>
      <c r="C15" s="154" t="s">
        <v>235</v>
      </c>
      <c r="D15" s="424">
        <f>D12*D14</f>
        <v>-7.4999999999999982</v>
      </c>
      <c r="E15" s="425"/>
      <c r="F15" s="425"/>
      <c r="G15" s="426"/>
      <c r="H15" s="151"/>
      <c r="I15" s="142"/>
    </row>
    <row r="16" spans="1:9" ht="17.25" customHeight="1">
      <c r="A16" s="142"/>
      <c r="B16" s="147"/>
      <c r="C16" s="154" t="s">
        <v>291</v>
      </c>
      <c r="D16" s="424">
        <f>(IF(D11&lt;2017,4,2021-D11))*D14</f>
        <v>-59.999999999999986</v>
      </c>
      <c r="E16" s="425"/>
      <c r="F16" s="425"/>
      <c r="G16" s="426"/>
      <c r="H16" s="151"/>
      <c r="I16" s="142"/>
    </row>
    <row r="17" spans="1:17" ht="14.25" customHeight="1">
      <c r="A17" s="142"/>
      <c r="B17" s="147"/>
      <c r="C17" s="154" t="s">
        <v>236</v>
      </c>
      <c r="D17" s="424">
        <f>D16*D12</f>
        <v>-29.999999999999993</v>
      </c>
      <c r="E17" s="425"/>
      <c r="F17" s="425"/>
      <c r="G17" s="426"/>
      <c r="H17" s="151"/>
      <c r="I17" s="142"/>
    </row>
    <row r="18" spans="1:17" ht="14.25" customHeight="1" thickBot="1">
      <c r="A18" s="142"/>
      <c r="B18" s="160"/>
      <c r="C18" s="161"/>
      <c r="D18" s="162"/>
      <c r="E18" s="163"/>
      <c r="F18" s="163"/>
      <c r="G18" s="163"/>
      <c r="H18" s="164"/>
      <c r="I18" s="142"/>
    </row>
    <row r="19" spans="1:17" s="142" customFormat="1" ht="15.75" thickBot="1">
      <c r="A19" s="152"/>
      <c r="B19" s="155"/>
      <c r="C19" s="165"/>
      <c r="D19" s="166"/>
      <c r="E19" s="167"/>
      <c r="F19" s="167"/>
      <c r="G19" s="167"/>
      <c r="H19" s="165"/>
      <c r="I19" s="152"/>
      <c r="J19" s="152"/>
      <c r="K19" s="152"/>
      <c r="L19" s="152"/>
      <c r="M19" s="152"/>
      <c r="N19" s="152"/>
      <c r="O19" s="152"/>
      <c r="P19" s="152"/>
      <c r="Q19" s="152"/>
    </row>
    <row r="20" spans="1:17" s="142" customFormat="1" ht="16.5">
      <c r="B20" s="168"/>
      <c r="C20" s="169"/>
      <c r="D20" s="169"/>
      <c r="E20" s="170"/>
      <c r="F20" s="171"/>
      <c r="G20" s="171"/>
      <c r="H20" s="172"/>
    </row>
    <row r="21" spans="1:17" s="142" customFormat="1" ht="66.599999999999994" customHeight="1">
      <c r="B21" s="173"/>
      <c r="C21" s="464" t="s">
        <v>228</v>
      </c>
      <c r="D21" s="464"/>
      <c r="E21" s="464"/>
      <c r="F21" s="464"/>
      <c r="G21" s="174"/>
      <c r="H21" s="175"/>
    </row>
    <row r="22" spans="1:17" s="142" customFormat="1" ht="151.9" customHeight="1">
      <c r="B22" s="173"/>
      <c r="C22" s="465" t="s">
        <v>301</v>
      </c>
      <c r="D22" s="465"/>
      <c r="E22" s="465"/>
      <c r="F22" s="465"/>
      <c r="G22" s="465"/>
      <c r="H22" s="175"/>
    </row>
    <row r="23" spans="1:17" s="142" customFormat="1" ht="16.5">
      <c r="B23" s="176"/>
      <c r="C23" s="177"/>
      <c r="D23" s="178"/>
      <c r="E23" s="179"/>
      <c r="F23" s="179"/>
      <c r="G23" s="179"/>
      <c r="H23" s="151"/>
      <c r="J23" s="152"/>
      <c r="K23" s="152"/>
      <c r="L23" s="152"/>
      <c r="M23" s="152"/>
      <c r="N23" s="152"/>
      <c r="O23" s="152"/>
      <c r="P23" s="152"/>
      <c r="Q23" s="152"/>
    </row>
    <row r="24" spans="1:17" s="142" customFormat="1" ht="21.75" customHeight="1" thickBot="1">
      <c r="B24" s="173"/>
      <c r="C24" s="180" t="s">
        <v>129</v>
      </c>
      <c r="D24" s="181"/>
      <c r="E24" s="181"/>
      <c r="F24" s="181"/>
      <c r="G24" s="181"/>
      <c r="H24" s="175"/>
    </row>
    <row r="25" spans="1:17" s="142" customFormat="1" ht="27.75" customHeight="1">
      <c r="B25" s="176"/>
      <c r="C25" s="182"/>
      <c r="D25" s="298" t="s">
        <v>118</v>
      </c>
      <c r="E25" s="298" t="s">
        <v>267</v>
      </c>
      <c r="F25" s="184" t="s">
        <v>0</v>
      </c>
      <c r="G25" s="185" t="s">
        <v>3</v>
      </c>
      <c r="H25" s="175"/>
    </row>
    <row r="26" spans="1:17" s="142" customFormat="1" ht="16.5">
      <c r="B26" s="176"/>
      <c r="C26" s="190" t="s">
        <v>157</v>
      </c>
      <c r="D26" s="274">
        <v>50000</v>
      </c>
      <c r="E26" s="274">
        <v>50000</v>
      </c>
      <c r="F26" s="299" t="s">
        <v>51</v>
      </c>
      <c r="G26" s="288" t="s">
        <v>220</v>
      </c>
      <c r="H26" s="175"/>
    </row>
    <row r="27" spans="1:17" s="142" customFormat="1" ht="16.5">
      <c r="B27" s="186"/>
      <c r="C27" s="196" t="s">
        <v>184</v>
      </c>
      <c r="D27" s="333" t="s">
        <v>11</v>
      </c>
      <c r="E27" s="334" t="s">
        <v>62</v>
      </c>
      <c r="F27" s="328"/>
      <c r="G27" s="288" t="s">
        <v>220</v>
      </c>
      <c r="H27" s="175"/>
    </row>
    <row r="28" spans="1:17" s="142" customFormat="1" ht="30" customHeight="1">
      <c r="B28" s="176"/>
      <c r="C28" s="197" t="s">
        <v>178</v>
      </c>
      <c r="D28" s="275">
        <v>10</v>
      </c>
      <c r="E28" s="275">
        <v>10</v>
      </c>
      <c r="F28" s="198" t="s">
        <v>52</v>
      </c>
      <c r="G28" s="288" t="s">
        <v>220</v>
      </c>
      <c r="H28" s="175"/>
    </row>
    <row r="29" spans="1:17" s="142" customFormat="1" ht="16.5">
      <c r="B29" s="176"/>
      <c r="C29" s="190" t="s">
        <v>233</v>
      </c>
      <c r="D29" s="522">
        <f>(VLOOKUP(D27,'GER-waarden'!B7:D25,3,FALSE))*1000</f>
        <v>2000</v>
      </c>
      <c r="E29" s="522"/>
      <c r="F29" s="202" t="s">
        <v>255</v>
      </c>
      <c r="G29" s="206" t="s">
        <v>68</v>
      </c>
      <c r="H29" s="175"/>
    </row>
    <row r="30" spans="1:17" s="142" customFormat="1" ht="17.25" thickBot="1">
      <c r="B30" s="176"/>
      <c r="C30" s="209" t="s">
        <v>285</v>
      </c>
      <c r="D30" s="523">
        <f>(VLOOKUP(E27,'GER-waarden'!B7:D25,3,FALSE))*1000</f>
        <v>3500</v>
      </c>
      <c r="E30" s="523"/>
      <c r="F30" s="210" t="s">
        <v>255</v>
      </c>
      <c r="G30" s="211" t="s">
        <v>68</v>
      </c>
      <c r="H30" s="175"/>
    </row>
    <row r="31" spans="1:17" s="142" customFormat="1" ht="16.5">
      <c r="B31" s="176"/>
      <c r="C31" s="212"/>
      <c r="D31" s="212"/>
      <c r="E31" s="212"/>
      <c r="F31" s="212"/>
      <c r="G31" s="212"/>
      <c r="H31" s="175"/>
    </row>
    <row r="32" spans="1:17" s="142" customFormat="1" ht="17.25" thickBot="1">
      <c r="B32" s="176"/>
      <c r="C32" s="213" t="s">
        <v>130</v>
      </c>
      <c r="D32" s="214"/>
      <c r="E32" s="214"/>
      <c r="F32" s="215"/>
      <c r="G32" s="216"/>
      <c r="H32" s="175"/>
    </row>
    <row r="33" spans="2:18" s="142" customFormat="1" ht="23.25" customHeight="1">
      <c r="B33" s="176"/>
      <c r="C33" s="217"/>
      <c r="D33" s="218" t="s">
        <v>118</v>
      </c>
      <c r="E33" s="218" t="s">
        <v>270</v>
      </c>
      <c r="F33" s="219" t="s">
        <v>0</v>
      </c>
      <c r="G33" s="220" t="s">
        <v>3</v>
      </c>
      <c r="H33" s="175"/>
    </row>
    <row r="34" spans="2:18" s="142" customFormat="1" ht="14.25" customHeight="1">
      <c r="B34" s="176"/>
      <c r="C34" s="221" t="s">
        <v>133</v>
      </c>
      <c r="D34" s="296">
        <v>0</v>
      </c>
      <c r="E34" s="296">
        <v>0</v>
      </c>
      <c r="F34" s="287" t="s">
        <v>131</v>
      </c>
      <c r="G34" s="288" t="s">
        <v>220</v>
      </c>
      <c r="H34" s="175"/>
    </row>
    <row r="35" spans="2:18" s="142" customFormat="1" ht="14.25" customHeight="1">
      <c r="B35" s="176"/>
      <c r="C35" s="289" t="s">
        <v>134</v>
      </c>
      <c r="D35" s="296">
        <v>0</v>
      </c>
      <c r="E35" s="296">
        <v>0</v>
      </c>
      <c r="F35" s="225" t="s">
        <v>132</v>
      </c>
      <c r="G35" s="288" t="s">
        <v>220</v>
      </c>
      <c r="H35" s="175"/>
    </row>
    <row r="36" spans="2:18" s="142" customFormat="1" ht="14.25" customHeight="1">
      <c r="B36" s="176"/>
      <c r="C36" s="337" t="s">
        <v>237</v>
      </c>
      <c r="D36" s="455">
        <v>0.14000000000000001</v>
      </c>
      <c r="E36" s="456"/>
      <c r="F36" s="290" t="s">
        <v>239</v>
      </c>
      <c r="G36" s="228" t="s">
        <v>68</v>
      </c>
      <c r="H36" s="175"/>
      <c r="J36" s="229"/>
    </row>
    <row r="37" spans="2:18" s="142" customFormat="1" ht="14.25" customHeight="1">
      <c r="B37" s="176"/>
      <c r="C37" s="338" t="s">
        <v>238</v>
      </c>
      <c r="D37" s="457">
        <v>0.53</v>
      </c>
      <c r="E37" s="458"/>
      <c r="F37" s="292" t="s">
        <v>240</v>
      </c>
      <c r="G37" s="232" t="s">
        <v>68</v>
      </c>
      <c r="H37" s="175"/>
      <c r="J37" s="229"/>
      <c r="L37" s="152"/>
    </row>
    <row r="38" spans="2:18" s="142" customFormat="1" ht="16.5">
      <c r="B38" s="176"/>
      <c r="C38" s="233" t="s">
        <v>193</v>
      </c>
      <c r="D38" s="214"/>
      <c r="E38" s="214"/>
      <c r="F38" s="215"/>
      <c r="G38" s="216"/>
      <c r="H38" s="175"/>
    </row>
    <row r="39" spans="2:18" s="142" customFormat="1" ht="17.25" customHeight="1">
      <c r="B39" s="176"/>
      <c r="C39" s="212"/>
      <c r="D39" s="234"/>
      <c r="E39" s="234"/>
      <c r="F39" s="234"/>
      <c r="G39" s="214"/>
      <c r="H39" s="175"/>
    </row>
    <row r="40" spans="2:18" s="142" customFormat="1" ht="17.25" customHeight="1" thickBot="1">
      <c r="B40" s="176"/>
      <c r="C40" s="235" t="s">
        <v>75</v>
      </c>
      <c r="D40" s="234"/>
      <c r="E40" s="234"/>
      <c r="F40" s="234"/>
      <c r="G40" s="214"/>
      <c r="H40" s="175"/>
    </row>
    <row r="41" spans="2:18" s="142" customFormat="1" ht="16.5">
      <c r="B41" s="176"/>
      <c r="C41" s="236" t="s">
        <v>260</v>
      </c>
      <c r="D41" s="237"/>
      <c r="E41" s="237"/>
      <c r="F41" s="238"/>
      <c r="G41" s="239"/>
      <c r="H41" s="175"/>
    </row>
    <row r="42" spans="2:18" s="142" customFormat="1" ht="31.15" customHeight="1">
      <c r="B42" s="176"/>
      <c r="C42" s="495" t="s">
        <v>41</v>
      </c>
      <c r="D42" s="496"/>
      <c r="E42" s="496"/>
      <c r="F42" s="308">
        <f>D28*D29</f>
        <v>20000</v>
      </c>
      <c r="G42" s="309" t="s">
        <v>248</v>
      </c>
      <c r="H42" s="175"/>
    </row>
    <row r="43" spans="2:18" s="142" customFormat="1" ht="44.45" customHeight="1">
      <c r="B43" s="176"/>
      <c r="C43" s="493" t="s">
        <v>190</v>
      </c>
      <c r="D43" s="494"/>
      <c r="E43" s="494"/>
      <c r="F43" s="251">
        <f>((D35*D36)+(D34*D37))/1000</f>
        <v>0</v>
      </c>
      <c r="G43" s="311" t="s">
        <v>248</v>
      </c>
      <c r="H43" s="175"/>
    </row>
    <row r="44" spans="2:18" s="142" customFormat="1" ht="18.600000000000001" customHeight="1" thickBot="1">
      <c r="B44" s="176"/>
      <c r="C44" s="345" t="s">
        <v>28</v>
      </c>
      <c r="D44" s="331"/>
      <c r="E44" s="331"/>
      <c r="F44" s="330">
        <f>(F42+F43)/D26</f>
        <v>0.4</v>
      </c>
      <c r="G44" s="315" t="s">
        <v>248</v>
      </c>
      <c r="H44" s="175"/>
    </row>
    <row r="45" spans="2:18" s="142" customFormat="1" ht="16.5">
      <c r="B45" s="176"/>
      <c r="C45" s="445" t="s">
        <v>282</v>
      </c>
      <c r="D45" s="446"/>
      <c r="E45" s="446"/>
      <c r="F45" s="245"/>
      <c r="G45" s="246"/>
      <c r="H45" s="175"/>
      <c r="R45" s="204"/>
    </row>
    <row r="46" spans="2:18" s="142" customFormat="1" ht="34.15" customHeight="1">
      <c r="B46" s="176"/>
      <c r="C46" s="479" t="s">
        <v>281</v>
      </c>
      <c r="D46" s="480"/>
      <c r="E46" s="480"/>
      <c r="F46" s="251">
        <f>(E28*D30)</f>
        <v>35000</v>
      </c>
      <c r="G46" s="309" t="s">
        <v>248</v>
      </c>
      <c r="H46" s="175"/>
    </row>
    <row r="47" spans="2:18" s="142" customFormat="1" ht="37.15" customHeight="1">
      <c r="B47" s="176"/>
      <c r="C47" s="483" t="s">
        <v>273</v>
      </c>
      <c r="D47" s="484"/>
      <c r="E47" s="484"/>
      <c r="F47" s="346">
        <f>((E35*D36)+(E34*D37))/1000</f>
        <v>0</v>
      </c>
      <c r="G47" s="316" t="s">
        <v>248</v>
      </c>
      <c r="H47" s="175"/>
    </row>
    <row r="48" spans="2:18" s="142" customFormat="1" ht="25.15" customHeight="1" thickBot="1">
      <c r="B48" s="176"/>
      <c r="C48" s="317" t="s">
        <v>274</v>
      </c>
      <c r="D48" s="313"/>
      <c r="E48" s="313"/>
      <c r="F48" s="330">
        <f>(F46+F47)/E26</f>
        <v>0.7</v>
      </c>
      <c r="G48" s="243" t="s">
        <v>248</v>
      </c>
      <c r="H48" s="318"/>
    </row>
    <row r="49" spans="2:10" s="142" customFormat="1" ht="16.5">
      <c r="B49" s="176"/>
      <c r="C49" s="319" t="s">
        <v>74</v>
      </c>
      <c r="D49" s="237"/>
      <c r="E49" s="237"/>
      <c r="F49" s="245"/>
      <c r="G49" s="239"/>
      <c r="H49" s="175"/>
    </row>
    <row r="50" spans="2:10" s="142" customFormat="1" ht="29.45" customHeight="1">
      <c r="B50" s="176"/>
      <c r="C50" s="515" t="s">
        <v>275</v>
      </c>
      <c r="D50" s="516"/>
      <c r="E50" s="516"/>
      <c r="F50" s="335">
        <f>F44-F48</f>
        <v>-0.29999999999999993</v>
      </c>
      <c r="G50" s="311" t="s">
        <v>248</v>
      </c>
      <c r="H50" s="175"/>
      <c r="J50" s="152"/>
    </row>
    <row r="51" spans="2:10" s="142" customFormat="1" ht="28.9" customHeight="1" thickBot="1">
      <c r="B51" s="176"/>
      <c r="C51" s="517" t="s">
        <v>24</v>
      </c>
      <c r="D51" s="518"/>
      <c r="E51" s="331"/>
      <c r="F51" s="321">
        <f>F50*E26</f>
        <v>-14999.999999999996</v>
      </c>
      <c r="G51" s="315" t="s">
        <v>248</v>
      </c>
      <c r="H51" s="175"/>
    </row>
    <row r="52" spans="2:10" s="142" customFormat="1" ht="17.25" thickBot="1">
      <c r="B52" s="176"/>
      <c r="C52" s="212"/>
      <c r="D52" s="214"/>
      <c r="E52" s="214"/>
      <c r="F52" s="255"/>
      <c r="G52" s="214"/>
      <c r="H52" s="175"/>
    </row>
    <row r="53" spans="2:10" s="142" customFormat="1" ht="18" customHeight="1" thickBot="1">
      <c r="B53" s="176"/>
      <c r="C53" s="256" t="s">
        <v>259</v>
      </c>
      <c r="D53" s="214"/>
      <c r="E53" s="257"/>
      <c r="F53" s="347">
        <f>F51/1000</f>
        <v>-14.999999999999996</v>
      </c>
      <c r="G53" s="259" t="s">
        <v>249</v>
      </c>
      <c r="H53" s="175"/>
    </row>
    <row r="54" spans="2:10" s="142" customFormat="1" ht="16.5">
      <c r="B54" s="176"/>
      <c r="C54" s="212"/>
      <c r="D54" s="260"/>
      <c r="E54" s="449"/>
      <c r="F54" s="450"/>
      <c r="G54" s="450"/>
      <c r="H54" s="175"/>
    </row>
    <row r="55" spans="2:10" s="142" customFormat="1" ht="18" customHeight="1">
      <c r="B55" s="176"/>
      <c r="C55" s="261" t="s">
        <v>128</v>
      </c>
      <c r="D55" s="262"/>
      <c r="E55" s="263"/>
      <c r="F55" s="262"/>
      <c r="G55" s="264"/>
      <c r="H55" s="175"/>
    </row>
    <row r="56" spans="2:10" s="142" customFormat="1" ht="43.9" customHeight="1">
      <c r="B56" s="176"/>
      <c r="C56" s="438" t="s">
        <v>192</v>
      </c>
      <c r="D56" s="436"/>
      <c r="E56" s="436"/>
      <c r="F56" s="436"/>
      <c r="G56" s="437"/>
      <c r="H56" s="175"/>
    </row>
    <row r="57" spans="2:10" s="142" customFormat="1" ht="16.5">
      <c r="B57" s="176"/>
      <c r="C57" s="265"/>
      <c r="D57" s="266"/>
      <c r="E57" s="266"/>
      <c r="F57" s="266"/>
      <c r="G57" s="266"/>
      <c r="H57" s="175"/>
    </row>
    <row r="58" spans="2:10" s="142" customFormat="1" ht="16.5">
      <c r="B58" s="176"/>
      <c r="C58" s="261" t="s">
        <v>135</v>
      </c>
      <c r="D58" s="262"/>
      <c r="E58" s="267"/>
      <c r="F58" s="268"/>
      <c r="G58" s="262"/>
      <c r="H58" s="175"/>
    </row>
    <row r="59" spans="2:10" s="142" customFormat="1" ht="91.5" customHeight="1">
      <c r="B59" s="269"/>
      <c r="C59" s="435" t="s">
        <v>241</v>
      </c>
      <c r="D59" s="436"/>
      <c r="E59" s="436"/>
      <c r="F59" s="436"/>
      <c r="G59" s="437"/>
      <c r="H59" s="175"/>
      <c r="J59" s="270"/>
    </row>
    <row r="60" spans="2:10" s="142" customFormat="1" ht="15" customHeight="1" thickBot="1">
      <c r="B60" s="271"/>
      <c r="C60" s="272"/>
      <c r="D60" s="272"/>
      <c r="E60" s="272"/>
      <c r="F60" s="272"/>
      <c r="G60" s="272"/>
      <c r="H60" s="273"/>
    </row>
    <row r="61" spans="2:10" s="142" customFormat="1" ht="15" customHeight="1"/>
    <row r="62" spans="2:10" ht="14.25" customHeight="1">
      <c r="B62" s="336"/>
      <c r="C62" s="336"/>
      <c r="H62" s="336"/>
    </row>
    <row r="63" spans="2:10" ht="29.25" customHeight="1"/>
    <row r="64" spans="2:10" ht="14.25" customHeight="1"/>
    <row r="65" spans="1:9" ht="14.25" customHeight="1"/>
    <row r="66" spans="1:9" ht="14.25" customHeight="1"/>
    <row r="67" spans="1:9" ht="14.25" customHeight="1"/>
    <row r="68" spans="1:9" ht="21" customHeight="1"/>
    <row r="69" spans="1:9">
      <c r="A69" s="336"/>
      <c r="I69" s="336"/>
    </row>
    <row r="70" spans="1:9" ht="27.75" customHeight="1">
      <c r="A70" s="336"/>
      <c r="I70" s="336"/>
    </row>
    <row r="73" spans="1:9" ht="37.5" customHeight="1"/>
  </sheetData>
  <protectedRanges>
    <protectedRange sqref="D26:E26 D28:E30" name="Bereik1_4_3"/>
  </protectedRanges>
  <mergeCells count="26">
    <mergeCell ref="C21:F21"/>
    <mergeCell ref="C51:D51"/>
    <mergeCell ref="E54:G54"/>
    <mergeCell ref="C56:G56"/>
    <mergeCell ref="C59:G59"/>
    <mergeCell ref="C42:E42"/>
    <mergeCell ref="C43:E43"/>
    <mergeCell ref="C45:E45"/>
    <mergeCell ref="C46:E46"/>
    <mergeCell ref="C47:E47"/>
    <mergeCell ref="C50:E50"/>
    <mergeCell ref="D29:E29"/>
    <mergeCell ref="D30:E30"/>
    <mergeCell ref="D36:E36"/>
    <mergeCell ref="D37:E37"/>
    <mergeCell ref="C22:G22"/>
    <mergeCell ref="D13:G13"/>
    <mergeCell ref="D14:G14"/>
    <mergeCell ref="D15:G15"/>
    <mergeCell ref="D16:G16"/>
    <mergeCell ref="D17:G17"/>
    <mergeCell ref="D7:G7"/>
    <mergeCell ref="D8:G8"/>
    <mergeCell ref="D9:G9"/>
    <mergeCell ref="D11:G11"/>
    <mergeCell ref="D12:G12"/>
  </mergeCells>
  <pageMargins left="0.70866141732283472" right="0.70866141732283472" top="0.74803149606299213" bottom="0.74803149606299213" header="0.31496062992125984" footer="0.31496062992125984"/>
  <pageSetup paperSize="9" scale="61" fitToHeight="2" orientation="portrait" r:id="rId1"/>
  <extLst>
    <ext xmlns:x14="http://schemas.microsoft.com/office/spreadsheetml/2009/9/main" uri="{CCE6A557-97BC-4b89-ADB6-D9C93CAAB3DF}">
      <x14:dataValidations xmlns:xm="http://schemas.microsoft.com/office/excel/2006/main" count="2">
        <x14:dataValidation type="list" allowBlank="1" showInputMessage="1">
          <x14:formula1>
            <xm:f>'GER-waarden'!$B$173:$B$183</xm:f>
          </x14:formula1>
          <xm:sqref>D27</xm:sqref>
        </x14:dataValidation>
        <x14:dataValidation type="list" allowBlank="1" showInputMessage="1">
          <x14:formula1>
            <xm:f>'GER-waarden'!$B$201:$B$202</xm:f>
          </x14:formula1>
          <xm:sqref>E27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enableFormatConditionsCalculation="0">
    <tabColor rgb="FF92D050"/>
    <pageSetUpPr fitToPage="1"/>
  </sheetPr>
  <dimension ref="A1:R74"/>
  <sheetViews>
    <sheetView workbookViewId="0"/>
  </sheetViews>
  <sheetFormatPr defaultColWidth="8.85546875" defaultRowHeight="12.75"/>
  <cols>
    <col min="1" max="2" width="3.7109375" style="297" customWidth="1"/>
    <col min="3" max="3" width="42.28515625" style="297" customWidth="1"/>
    <col min="4" max="4" width="21.42578125" style="297" customWidth="1"/>
    <col min="5" max="5" width="18.28515625" style="297" customWidth="1"/>
    <col min="6" max="6" width="12.28515625" style="297" customWidth="1"/>
    <col min="7" max="7" width="23.85546875" style="297" customWidth="1"/>
    <col min="8" max="8" width="3.7109375" style="297" customWidth="1"/>
    <col min="9" max="16384" width="8.85546875" style="297"/>
  </cols>
  <sheetData>
    <row r="1" spans="1:17" ht="15.75" thickBot="1">
      <c r="A1" s="142"/>
      <c r="B1" s="142"/>
      <c r="C1" s="142"/>
      <c r="D1" s="142"/>
      <c r="E1" s="142"/>
      <c r="F1" s="142"/>
      <c r="G1" s="142"/>
      <c r="H1" s="142"/>
      <c r="I1" s="142"/>
    </row>
    <row r="2" spans="1:17" ht="15">
      <c r="A2" s="142"/>
      <c r="B2" s="143"/>
      <c r="C2" s="144"/>
      <c r="D2" s="144"/>
      <c r="E2" s="145"/>
      <c r="F2" s="145"/>
      <c r="G2" s="145"/>
      <c r="H2" s="146"/>
      <c r="I2" s="142"/>
    </row>
    <row r="3" spans="1:17" ht="15">
      <c r="A3" s="142"/>
      <c r="B3" s="147"/>
      <c r="C3" s="148" t="s">
        <v>125</v>
      </c>
      <c r="D3" s="149"/>
      <c r="E3" s="150"/>
      <c r="F3" s="149"/>
      <c r="G3" s="149"/>
      <c r="H3" s="151"/>
      <c r="I3" s="142"/>
    </row>
    <row r="4" spans="1:17" ht="31.9" customHeight="1">
      <c r="A4" s="142"/>
      <c r="B4" s="147"/>
      <c r="C4" s="153" t="s">
        <v>109</v>
      </c>
      <c r="D4" s="519" t="s">
        <v>180</v>
      </c>
      <c r="E4" s="520"/>
      <c r="F4" s="520"/>
      <c r="G4" s="521"/>
      <c r="H4" s="151"/>
      <c r="I4" s="142"/>
    </row>
    <row r="5" spans="1:17" ht="15" customHeight="1">
      <c r="A5" s="142"/>
      <c r="B5" s="147"/>
      <c r="C5" s="154" t="s">
        <v>110</v>
      </c>
      <c r="D5" s="428" t="s">
        <v>111</v>
      </c>
      <c r="E5" s="428"/>
      <c r="F5" s="428"/>
      <c r="G5" s="428"/>
      <c r="H5" s="151"/>
      <c r="I5" s="142"/>
    </row>
    <row r="6" spans="1:17" ht="14.25" customHeight="1">
      <c r="A6" s="142"/>
      <c r="B6" s="147"/>
      <c r="C6" s="154" t="s">
        <v>112</v>
      </c>
      <c r="D6" s="429" t="s">
        <v>181</v>
      </c>
      <c r="E6" s="425"/>
      <c r="F6" s="425"/>
      <c r="G6" s="426"/>
      <c r="H6" s="151"/>
      <c r="I6" s="142"/>
    </row>
    <row r="7" spans="1:17" ht="14.25" customHeight="1">
      <c r="A7" s="142"/>
      <c r="B7" s="147"/>
      <c r="C7" s="154" t="s">
        <v>120</v>
      </c>
      <c r="D7" s="156" t="s">
        <v>182</v>
      </c>
      <c r="E7" s="157"/>
      <c r="F7" s="157"/>
      <c r="G7" s="158"/>
      <c r="H7" s="151"/>
      <c r="I7" s="142"/>
    </row>
    <row r="8" spans="1:17" ht="17.25" customHeight="1">
      <c r="A8" s="142"/>
      <c r="B8" s="147"/>
      <c r="C8" s="154" t="s">
        <v>385</v>
      </c>
      <c r="D8" s="430">
        <v>2017</v>
      </c>
      <c r="E8" s="431"/>
      <c r="F8" s="431"/>
      <c r="G8" s="432"/>
      <c r="H8" s="151"/>
      <c r="I8" s="142"/>
    </row>
    <row r="9" spans="1:17" ht="15">
      <c r="A9" s="142"/>
      <c r="B9" s="147"/>
      <c r="C9" s="154" t="s">
        <v>113</v>
      </c>
      <c r="D9" s="423">
        <v>0.5</v>
      </c>
      <c r="E9" s="423"/>
      <c r="F9" s="423"/>
      <c r="G9" s="423"/>
      <c r="H9" s="151"/>
      <c r="I9" s="142"/>
    </row>
    <row r="10" spans="1:17" ht="14.25" customHeight="1">
      <c r="A10" s="142"/>
      <c r="B10" s="147"/>
      <c r="C10" s="154" t="s">
        <v>114</v>
      </c>
      <c r="D10" s="423">
        <v>1</v>
      </c>
      <c r="E10" s="423"/>
      <c r="F10" s="423"/>
      <c r="G10" s="423"/>
      <c r="H10" s="151"/>
      <c r="I10" s="142"/>
    </row>
    <row r="11" spans="1:17" ht="15" customHeight="1">
      <c r="A11" s="142"/>
      <c r="B11" s="147"/>
      <c r="C11" s="154" t="s">
        <v>115</v>
      </c>
      <c r="D11" s="424">
        <f>F54</f>
        <v>5.8324999999999987</v>
      </c>
      <c r="E11" s="425"/>
      <c r="F11" s="425"/>
      <c r="G11" s="426"/>
      <c r="H11" s="151"/>
      <c r="I11" s="142"/>
    </row>
    <row r="12" spans="1:17" ht="15" customHeight="1">
      <c r="A12" s="142"/>
      <c r="B12" s="147"/>
      <c r="C12" s="154" t="s">
        <v>126</v>
      </c>
      <c r="D12" s="424">
        <f>D9*D11</f>
        <v>2.9162499999999993</v>
      </c>
      <c r="E12" s="425"/>
      <c r="F12" s="425"/>
      <c r="G12" s="426"/>
      <c r="H12" s="151"/>
      <c r="I12" s="142"/>
    </row>
    <row r="13" spans="1:17" ht="18" customHeight="1">
      <c r="A13" s="142"/>
      <c r="B13" s="147"/>
      <c r="C13" s="154" t="s">
        <v>291</v>
      </c>
      <c r="D13" s="424">
        <f>(IF(D8&lt;2017,4,2021-D8))*D11</f>
        <v>23.329999999999995</v>
      </c>
      <c r="E13" s="425"/>
      <c r="F13" s="425"/>
      <c r="G13" s="426"/>
      <c r="H13" s="151"/>
      <c r="I13" s="142"/>
    </row>
    <row r="14" spans="1:17" ht="18" customHeight="1">
      <c r="A14" s="142"/>
      <c r="B14" s="147"/>
      <c r="C14" s="154" t="s">
        <v>127</v>
      </c>
      <c r="D14" s="424">
        <f>D13*D9</f>
        <v>11.664999999999997</v>
      </c>
      <c r="E14" s="425"/>
      <c r="F14" s="425"/>
      <c r="G14" s="426"/>
      <c r="H14" s="151"/>
      <c r="I14" s="142"/>
    </row>
    <row r="15" spans="1:17" ht="14.25" customHeight="1" thickBot="1">
      <c r="A15" s="142"/>
      <c r="B15" s="160"/>
      <c r="C15" s="161"/>
      <c r="D15" s="162"/>
      <c r="E15" s="163"/>
      <c r="F15" s="163"/>
      <c r="G15" s="163"/>
      <c r="H15" s="164"/>
      <c r="I15" s="142"/>
    </row>
    <row r="16" spans="1:17" s="142" customFormat="1" ht="15.75" thickBot="1">
      <c r="A16" s="152"/>
      <c r="B16" s="155"/>
      <c r="C16" s="165"/>
      <c r="D16" s="166"/>
      <c r="E16" s="167"/>
      <c r="F16" s="167"/>
      <c r="G16" s="167"/>
      <c r="H16" s="165"/>
      <c r="I16" s="152"/>
      <c r="J16" s="152"/>
      <c r="K16" s="152"/>
      <c r="L16" s="152"/>
      <c r="M16" s="152"/>
      <c r="N16" s="152"/>
      <c r="O16" s="152"/>
      <c r="P16" s="152"/>
      <c r="Q16" s="152"/>
    </row>
    <row r="17" spans="2:17" s="142" customFormat="1" ht="16.5">
      <c r="B17" s="168"/>
      <c r="C17" s="169"/>
      <c r="D17" s="169"/>
      <c r="E17" s="170"/>
      <c r="F17" s="171"/>
      <c r="G17" s="171"/>
      <c r="H17" s="172"/>
    </row>
    <row r="18" spans="2:17" s="142" customFormat="1" ht="66.599999999999994" customHeight="1">
      <c r="B18" s="173"/>
      <c r="C18" s="464" t="s">
        <v>183</v>
      </c>
      <c r="D18" s="464"/>
      <c r="E18" s="464"/>
      <c r="F18" s="464"/>
      <c r="G18" s="174"/>
      <c r="H18" s="175"/>
    </row>
    <row r="19" spans="2:17" s="142" customFormat="1" ht="165.6" customHeight="1">
      <c r="B19" s="173"/>
      <c r="C19" s="465" t="s">
        <v>302</v>
      </c>
      <c r="D19" s="465"/>
      <c r="E19" s="465"/>
      <c r="F19" s="465"/>
      <c r="G19" s="465"/>
      <c r="H19" s="175"/>
    </row>
    <row r="20" spans="2:17" s="142" customFormat="1" ht="16.5">
      <c r="B20" s="176"/>
      <c r="C20" s="177"/>
      <c r="D20" s="178"/>
      <c r="E20" s="179"/>
      <c r="F20" s="179"/>
      <c r="G20" s="179"/>
      <c r="H20" s="151"/>
      <c r="J20" s="152"/>
      <c r="K20" s="152"/>
      <c r="L20" s="152"/>
      <c r="M20" s="152"/>
      <c r="N20" s="152"/>
      <c r="O20" s="152"/>
      <c r="P20" s="152"/>
      <c r="Q20" s="152"/>
    </row>
    <row r="21" spans="2:17" s="142" customFormat="1" ht="21.75" customHeight="1" thickBot="1">
      <c r="B21" s="173"/>
      <c r="C21" s="180" t="s">
        <v>129</v>
      </c>
      <c r="D21" s="181"/>
      <c r="E21" s="181"/>
      <c r="F21" s="181"/>
      <c r="G21" s="181"/>
      <c r="H21" s="175"/>
    </row>
    <row r="22" spans="2:17" s="142" customFormat="1" ht="27.75" customHeight="1">
      <c r="B22" s="176"/>
      <c r="C22" s="182"/>
      <c r="D22" s="298" t="s">
        <v>118</v>
      </c>
      <c r="E22" s="298" t="s">
        <v>267</v>
      </c>
      <c r="F22" s="184" t="s">
        <v>0</v>
      </c>
      <c r="G22" s="185" t="s">
        <v>3</v>
      </c>
      <c r="H22" s="175"/>
    </row>
    <row r="23" spans="2:17" s="142" customFormat="1" ht="16.5">
      <c r="B23" s="176"/>
      <c r="C23" s="190" t="s">
        <v>157</v>
      </c>
      <c r="D23" s="274">
        <v>25000</v>
      </c>
      <c r="E23" s="274">
        <v>25000</v>
      </c>
      <c r="F23" s="299" t="s">
        <v>51</v>
      </c>
      <c r="G23" s="288" t="s">
        <v>220</v>
      </c>
      <c r="H23" s="175"/>
    </row>
    <row r="24" spans="2:17" s="142" customFormat="1" ht="16.5">
      <c r="B24" s="186"/>
      <c r="C24" s="196" t="s">
        <v>184</v>
      </c>
      <c r="D24" s="333" t="s">
        <v>11</v>
      </c>
      <c r="E24" s="334" t="s">
        <v>11</v>
      </c>
      <c r="F24" s="328"/>
      <c r="G24" s="288" t="s">
        <v>220</v>
      </c>
      <c r="H24" s="175"/>
    </row>
    <row r="25" spans="2:17" s="142" customFormat="1" ht="22.5" customHeight="1">
      <c r="B25" s="176"/>
      <c r="C25" s="197" t="s">
        <v>178</v>
      </c>
      <c r="D25" s="275">
        <v>90</v>
      </c>
      <c r="E25" s="275">
        <v>40</v>
      </c>
      <c r="F25" s="198" t="s">
        <v>52</v>
      </c>
      <c r="G25" s="288" t="s">
        <v>220</v>
      </c>
      <c r="H25" s="175"/>
    </row>
    <row r="26" spans="2:17" s="142" customFormat="1" ht="18.75" customHeight="1">
      <c r="B26" s="176"/>
      <c r="C26" s="190" t="s">
        <v>39</v>
      </c>
      <c r="D26" s="274">
        <v>15000</v>
      </c>
      <c r="E26" s="274">
        <v>15000</v>
      </c>
      <c r="F26" s="198" t="s">
        <v>186</v>
      </c>
      <c r="G26" s="288" t="s">
        <v>220</v>
      </c>
      <c r="H26" s="175"/>
    </row>
    <row r="27" spans="2:17" s="142" customFormat="1" ht="30" customHeight="1">
      <c r="B27" s="176"/>
      <c r="C27" s="190" t="s">
        <v>188</v>
      </c>
      <c r="D27" s="524">
        <f>'GER-waarden'!C52/1000</f>
        <v>2.7699999999999999E-3</v>
      </c>
      <c r="E27" s="524"/>
      <c r="F27" s="202" t="s">
        <v>189</v>
      </c>
      <c r="G27" s="206" t="s">
        <v>68</v>
      </c>
      <c r="H27" s="175"/>
    </row>
    <row r="28" spans="2:17" s="142" customFormat="1" ht="28.5" customHeight="1">
      <c r="B28" s="176"/>
      <c r="C28" s="201" t="s">
        <v>187</v>
      </c>
      <c r="D28" s="525">
        <f>VLOOKUP(D24,'GER-waarden'!B6:C25,2,FALSE)</f>
        <v>75.099999999999994</v>
      </c>
      <c r="E28" s="525"/>
      <c r="F28" s="202" t="s">
        <v>1</v>
      </c>
      <c r="G28" s="206" t="s">
        <v>68</v>
      </c>
      <c r="H28" s="175"/>
      <c r="I28" s="204"/>
    </row>
    <row r="29" spans="2:17" s="142" customFormat="1" ht="17.25" thickBot="1">
      <c r="B29" s="176"/>
      <c r="C29" s="209" t="s">
        <v>284</v>
      </c>
      <c r="D29" s="463">
        <f>VLOOKUP(E24,'GER-waarden'!B6:C25,2,FALSE)</f>
        <v>75.099999999999994</v>
      </c>
      <c r="E29" s="463"/>
      <c r="F29" s="210" t="s">
        <v>1</v>
      </c>
      <c r="G29" s="211" t="s">
        <v>68</v>
      </c>
      <c r="H29" s="175"/>
    </row>
    <row r="30" spans="2:17" s="142" customFormat="1" ht="16.5">
      <c r="B30" s="176"/>
      <c r="C30" s="212"/>
      <c r="D30" s="212"/>
      <c r="E30" s="212"/>
      <c r="F30" s="212"/>
      <c r="G30" s="212"/>
      <c r="H30" s="175"/>
    </row>
    <row r="31" spans="2:17" s="142" customFormat="1" ht="17.25" thickBot="1">
      <c r="B31" s="176"/>
      <c r="C31" s="213" t="s">
        <v>130</v>
      </c>
      <c r="D31" s="214"/>
      <c r="E31" s="214"/>
      <c r="F31" s="215"/>
      <c r="G31" s="216"/>
      <c r="H31" s="175"/>
    </row>
    <row r="32" spans="2:17" s="142" customFormat="1" ht="23.25" customHeight="1">
      <c r="B32" s="176"/>
      <c r="C32" s="217"/>
      <c r="D32" s="218" t="s">
        <v>118</v>
      </c>
      <c r="E32" s="218" t="s">
        <v>270</v>
      </c>
      <c r="F32" s="219" t="s">
        <v>0</v>
      </c>
      <c r="G32" s="220" t="s">
        <v>3</v>
      </c>
      <c r="H32" s="175"/>
    </row>
    <row r="33" spans="2:18" s="142" customFormat="1" ht="14.25" customHeight="1">
      <c r="B33" s="176"/>
      <c r="C33" s="221" t="s">
        <v>133</v>
      </c>
      <c r="D33" s="296">
        <v>0</v>
      </c>
      <c r="E33" s="296">
        <v>0</v>
      </c>
      <c r="F33" s="287" t="s">
        <v>131</v>
      </c>
      <c r="G33" s="288" t="s">
        <v>220</v>
      </c>
      <c r="H33" s="175"/>
    </row>
    <row r="34" spans="2:18" s="142" customFormat="1" ht="14.25" customHeight="1">
      <c r="B34" s="176"/>
      <c r="C34" s="289" t="s">
        <v>134</v>
      </c>
      <c r="D34" s="296">
        <v>0</v>
      </c>
      <c r="E34" s="296">
        <v>0</v>
      </c>
      <c r="F34" s="225" t="s">
        <v>132</v>
      </c>
      <c r="G34" s="288" t="s">
        <v>220</v>
      </c>
      <c r="H34" s="175"/>
    </row>
    <row r="35" spans="2:18" s="142" customFormat="1" ht="14.25" customHeight="1">
      <c r="B35" s="176"/>
      <c r="C35" s="221" t="s">
        <v>79</v>
      </c>
      <c r="D35" s="455">
        <v>11.3</v>
      </c>
      <c r="E35" s="456"/>
      <c r="F35" s="290" t="s">
        <v>82</v>
      </c>
      <c r="G35" s="228" t="s">
        <v>68</v>
      </c>
      <c r="H35" s="175"/>
      <c r="J35" s="229"/>
    </row>
    <row r="36" spans="2:18" s="142" customFormat="1" ht="14.25" customHeight="1">
      <c r="B36" s="176"/>
      <c r="C36" s="325" t="s">
        <v>80</v>
      </c>
      <c r="D36" s="488">
        <v>45.2</v>
      </c>
      <c r="E36" s="458"/>
      <c r="F36" s="292" t="s">
        <v>81</v>
      </c>
      <c r="G36" s="232" t="s">
        <v>68</v>
      </c>
      <c r="H36" s="175"/>
      <c r="J36" s="229"/>
      <c r="L36" s="152"/>
    </row>
    <row r="37" spans="2:18" s="142" customFormat="1" ht="16.5">
      <c r="B37" s="176"/>
      <c r="C37" s="233" t="s">
        <v>193</v>
      </c>
      <c r="D37" s="214"/>
      <c r="E37" s="214"/>
      <c r="F37" s="215"/>
      <c r="G37" s="216"/>
      <c r="H37" s="175"/>
    </row>
    <row r="38" spans="2:18" s="142" customFormat="1" ht="17.25" customHeight="1">
      <c r="B38" s="176"/>
      <c r="C38" s="212"/>
      <c r="D38" s="234"/>
      <c r="E38" s="234"/>
      <c r="F38" s="234"/>
      <c r="G38" s="214"/>
      <c r="H38" s="175"/>
    </row>
    <row r="39" spans="2:18" s="142" customFormat="1" ht="17.25" customHeight="1" thickBot="1">
      <c r="B39" s="176"/>
      <c r="C39" s="235" t="s">
        <v>75</v>
      </c>
      <c r="D39" s="234"/>
      <c r="E39" s="234"/>
      <c r="F39" s="234"/>
      <c r="G39" s="214"/>
      <c r="H39" s="175"/>
    </row>
    <row r="40" spans="2:18" s="142" customFormat="1" ht="16.5">
      <c r="B40" s="176"/>
      <c r="C40" s="236" t="s">
        <v>260</v>
      </c>
      <c r="D40" s="237"/>
      <c r="E40" s="237"/>
      <c r="F40" s="238"/>
      <c r="G40" s="239"/>
      <c r="H40" s="175"/>
    </row>
    <row r="41" spans="2:18" s="142" customFormat="1" ht="31.15" customHeight="1">
      <c r="B41" s="176"/>
      <c r="C41" s="479" t="s">
        <v>41</v>
      </c>
      <c r="D41" s="480"/>
      <c r="E41" s="480"/>
      <c r="F41" s="251">
        <f>(D25*D28)</f>
        <v>6758.9999999999991</v>
      </c>
      <c r="G41" s="309" t="s">
        <v>76</v>
      </c>
      <c r="H41" s="175"/>
    </row>
    <row r="42" spans="2:18" s="142" customFormat="1" ht="35.450000000000003" customHeight="1">
      <c r="B42" s="176"/>
      <c r="C42" s="515" t="s">
        <v>191</v>
      </c>
      <c r="D42" s="516"/>
      <c r="E42" s="516"/>
      <c r="F42" s="346">
        <f>D25*D26*D27</f>
        <v>3739.5</v>
      </c>
      <c r="G42" s="316" t="s">
        <v>76</v>
      </c>
      <c r="H42" s="175"/>
    </row>
    <row r="43" spans="2:18" s="142" customFormat="1" ht="44.45" customHeight="1">
      <c r="B43" s="176"/>
      <c r="C43" s="483" t="s">
        <v>190</v>
      </c>
      <c r="D43" s="484"/>
      <c r="E43" s="484"/>
      <c r="F43" s="346">
        <f>((D34*D35)+(D33*D36))/1000</f>
        <v>0</v>
      </c>
      <c r="G43" s="311" t="s">
        <v>76</v>
      </c>
      <c r="H43" s="175"/>
    </row>
    <row r="44" spans="2:18" s="142" customFormat="1" ht="31.15" customHeight="1" thickBot="1">
      <c r="B44" s="176"/>
      <c r="C44" s="470" t="s">
        <v>28</v>
      </c>
      <c r="D44" s="471"/>
      <c r="E44" s="471"/>
      <c r="F44" s="330">
        <f>(F41+F42+F43)/D23</f>
        <v>0.41993999999999998</v>
      </c>
      <c r="G44" s="315" t="s">
        <v>165</v>
      </c>
      <c r="H44" s="175"/>
    </row>
    <row r="45" spans="2:18" s="142" customFormat="1" ht="16.5">
      <c r="B45" s="176"/>
      <c r="C45" s="445" t="s">
        <v>282</v>
      </c>
      <c r="D45" s="446"/>
      <c r="E45" s="446"/>
      <c r="F45" s="245"/>
      <c r="G45" s="246"/>
      <c r="H45" s="175"/>
      <c r="R45" s="204"/>
    </row>
    <row r="46" spans="2:18" s="142" customFormat="1" ht="34.15" customHeight="1">
      <c r="B46" s="176"/>
      <c r="C46" s="495" t="s">
        <v>281</v>
      </c>
      <c r="D46" s="496"/>
      <c r="E46" s="496"/>
      <c r="F46" s="251">
        <f>(E25*D29)</f>
        <v>3004</v>
      </c>
      <c r="G46" s="311" t="s">
        <v>76</v>
      </c>
      <c r="H46" s="175"/>
    </row>
    <row r="47" spans="2:18" s="142" customFormat="1" ht="35.450000000000003" customHeight="1">
      <c r="B47" s="176"/>
      <c r="C47" s="483" t="s">
        <v>286</v>
      </c>
      <c r="D47" s="484"/>
      <c r="E47" s="484"/>
      <c r="F47" s="346">
        <f>E25*E26*D27</f>
        <v>1662</v>
      </c>
      <c r="G47" s="316" t="s">
        <v>76</v>
      </c>
      <c r="H47" s="175"/>
    </row>
    <row r="48" spans="2:18" s="142" customFormat="1" ht="37.15" customHeight="1">
      <c r="B48" s="176"/>
      <c r="C48" s="515" t="s">
        <v>273</v>
      </c>
      <c r="D48" s="516"/>
      <c r="E48" s="516"/>
      <c r="F48" s="346">
        <f>((E34*D35)+(E33*D36))/1000</f>
        <v>0</v>
      </c>
      <c r="G48" s="311" t="s">
        <v>76</v>
      </c>
      <c r="H48" s="175"/>
    </row>
    <row r="49" spans="2:10" s="142" customFormat="1" ht="34.15" customHeight="1" thickBot="1">
      <c r="B49" s="176"/>
      <c r="C49" s="489" t="s">
        <v>274</v>
      </c>
      <c r="D49" s="490"/>
      <c r="E49" s="490"/>
      <c r="F49" s="330">
        <f>(F46+F47+F48)/E23</f>
        <v>0.18664</v>
      </c>
      <c r="G49" s="315" t="s">
        <v>165</v>
      </c>
      <c r="H49" s="318"/>
    </row>
    <row r="50" spans="2:10" s="142" customFormat="1" ht="16.5">
      <c r="B50" s="176"/>
      <c r="C50" s="319" t="s">
        <v>74</v>
      </c>
      <c r="D50" s="237"/>
      <c r="E50" s="237"/>
      <c r="F50" s="245"/>
      <c r="G50" s="239"/>
      <c r="H50" s="175"/>
    </row>
    <row r="51" spans="2:10" s="142" customFormat="1" ht="29.45" customHeight="1">
      <c r="B51" s="176"/>
      <c r="C51" s="485" t="s">
        <v>275</v>
      </c>
      <c r="D51" s="486"/>
      <c r="E51" s="486"/>
      <c r="F51" s="335">
        <f>F44-F49</f>
        <v>0.23329999999999998</v>
      </c>
      <c r="G51" s="311" t="s">
        <v>165</v>
      </c>
      <c r="H51" s="175"/>
      <c r="J51" s="152"/>
    </row>
    <row r="52" spans="2:10" s="142" customFormat="1" ht="28.9" customHeight="1" thickBot="1">
      <c r="B52" s="176"/>
      <c r="C52" s="481" t="s">
        <v>24</v>
      </c>
      <c r="D52" s="482"/>
      <c r="E52" s="313"/>
      <c r="F52" s="321">
        <f>F51*E23</f>
        <v>5832.4999999999991</v>
      </c>
      <c r="G52" s="315" t="s">
        <v>76</v>
      </c>
      <c r="H52" s="175"/>
    </row>
    <row r="53" spans="2:10" s="142" customFormat="1" ht="17.25" thickBot="1">
      <c r="B53" s="176"/>
      <c r="C53" s="212"/>
      <c r="D53" s="214"/>
      <c r="E53" s="214"/>
      <c r="F53" s="255"/>
      <c r="G53" s="214"/>
      <c r="H53" s="175"/>
    </row>
    <row r="54" spans="2:10" s="142" customFormat="1" ht="18" customHeight="1" thickBot="1">
      <c r="B54" s="176"/>
      <c r="C54" s="256" t="s">
        <v>259</v>
      </c>
      <c r="D54" s="214"/>
      <c r="E54" s="257"/>
      <c r="F54" s="258">
        <f>F52/1000</f>
        <v>5.8324999999999987</v>
      </c>
      <c r="G54" s="259" t="s">
        <v>77</v>
      </c>
      <c r="H54" s="175"/>
    </row>
    <row r="55" spans="2:10" s="142" customFormat="1" ht="16.5">
      <c r="B55" s="176"/>
      <c r="C55" s="212"/>
      <c r="D55" s="260"/>
      <c r="E55" s="449"/>
      <c r="F55" s="450"/>
      <c r="G55" s="450"/>
      <c r="H55" s="175"/>
    </row>
    <row r="56" spans="2:10" s="142" customFormat="1" ht="18" customHeight="1">
      <c r="B56" s="176"/>
      <c r="C56" s="261" t="s">
        <v>128</v>
      </c>
      <c r="D56" s="262"/>
      <c r="E56" s="263"/>
      <c r="F56" s="262"/>
      <c r="G56" s="264"/>
      <c r="H56" s="175"/>
    </row>
    <row r="57" spans="2:10" s="142" customFormat="1" ht="43.9" customHeight="1">
      <c r="B57" s="176"/>
      <c r="C57" s="438" t="s">
        <v>192</v>
      </c>
      <c r="D57" s="436"/>
      <c r="E57" s="436"/>
      <c r="F57" s="436"/>
      <c r="G57" s="437"/>
      <c r="H57" s="175"/>
    </row>
    <row r="58" spans="2:10" s="142" customFormat="1" ht="16.5">
      <c r="B58" s="176"/>
      <c r="C58" s="265"/>
      <c r="D58" s="266"/>
      <c r="E58" s="266"/>
      <c r="F58" s="266"/>
      <c r="G58" s="266"/>
      <c r="H58" s="175"/>
    </row>
    <row r="59" spans="2:10" s="142" customFormat="1" ht="16.5">
      <c r="B59" s="176"/>
      <c r="C59" s="261" t="s">
        <v>135</v>
      </c>
      <c r="D59" s="262"/>
      <c r="E59" s="267"/>
      <c r="F59" s="268"/>
      <c r="G59" s="262"/>
      <c r="H59" s="175"/>
    </row>
    <row r="60" spans="2:10" s="142" customFormat="1" ht="91.5" customHeight="1">
      <c r="B60" s="269"/>
      <c r="C60" s="435" t="s">
        <v>137</v>
      </c>
      <c r="D60" s="436"/>
      <c r="E60" s="436"/>
      <c r="F60" s="436"/>
      <c r="G60" s="437"/>
      <c r="H60" s="175"/>
      <c r="J60" s="270"/>
    </row>
    <row r="61" spans="2:10" s="142" customFormat="1" ht="15" customHeight="1" thickBot="1">
      <c r="B61" s="271"/>
      <c r="C61" s="272"/>
      <c r="D61" s="272"/>
      <c r="E61" s="272"/>
      <c r="F61" s="272"/>
      <c r="G61" s="272"/>
      <c r="H61" s="273"/>
    </row>
    <row r="62" spans="2:10" s="142" customFormat="1" ht="15" customHeight="1"/>
    <row r="63" spans="2:10" ht="14.25" customHeight="1">
      <c r="B63" s="336"/>
      <c r="C63" s="336"/>
      <c r="H63" s="336"/>
    </row>
    <row r="64" spans="2:10" ht="29.25" customHeight="1"/>
    <row r="65" spans="1:9" ht="14.25" customHeight="1"/>
    <row r="66" spans="1:9" ht="14.25" customHeight="1"/>
    <row r="67" spans="1:9" ht="14.25" customHeight="1"/>
    <row r="68" spans="1:9" ht="14.25" customHeight="1"/>
    <row r="69" spans="1:9" ht="21" customHeight="1"/>
    <row r="70" spans="1:9">
      <c r="A70" s="336"/>
      <c r="I70" s="336"/>
    </row>
    <row r="71" spans="1:9" ht="27.75" customHeight="1">
      <c r="A71" s="336"/>
      <c r="I71" s="336"/>
    </row>
    <row r="74" spans="1:9" ht="37.5" customHeight="1"/>
  </sheetData>
  <protectedRanges>
    <protectedRange sqref="D23:E23 D25:E29" name="Bereik1_4_3"/>
  </protectedRanges>
  <mergeCells count="31">
    <mergeCell ref="C57:G57"/>
    <mergeCell ref="C60:G60"/>
    <mergeCell ref="C48:E48"/>
    <mergeCell ref="C43:E43"/>
    <mergeCell ref="C42:E42"/>
    <mergeCell ref="C47:E47"/>
    <mergeCell ref="C51:E51"/>
    <mergeCell ref="C52:D52"/>
    <mergeCell ref="E55:G55"/>
    <mergeCell ref="C49:E49"/>
    <mergeCell ref="C18:F18"/>
    <mergeCell ref="C19:G19"/>
    <mergeCell ref="C41:E41"/>
    <mergeCell ref="C45:E45"/>
    <mergeCell ref="C46:E46"/>
    <mergeCell ref="D27:E27"/>
    <mergeCell ref="D28:E28"/>
    <mergeCell ref="D29:E29"/>
    <mergeCell ref="C44:E44"/>
    <mergeCell ref="D35:E35"/>
    <mergeCell ref="D36:E36"/>
    <mergeCell ref="D10:G10"/>
    <mergeCell ref="D11:G11"/>
    <mergeCell ref="D12:G12"/>
    <mergeCell ref="D13:G13"/>
    <mergeCell ref="D14:G14"/>
    <mergeCell ref="D4:G4"/>
    <mergeCell ref="D5:G5"/>
    <mergeCell ref="D6:G6"/>
    <mergeCell ref="D8:G8"/>
    <mergeCell ref="D9:G9"/>
  </mergeCells>
  <phoneticPr fontId="3" type="noConversion"/>
  <pageMargins left="0.70866141732283472" right="0.70866141732283472" top="0.74803149606299213" bottom="0.74803149606299213" header="0.31496062992125984" footer="0.31496062992125984"/>
  <pageSetup paperSize="9" scale="70" fitToHeight="2"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14:formula1>
            <xm:f>'GER-waarden'!$B$157:$B$169</xm:f>
          </x14:formula1>
          <xm:sqref>E24</xm:sqref>
        </x14:dataValidation>
        <x14:dataValidation type="list" allowBlank="1" showInputMessage="1">
          <x14:formula1>
            <xm:f>'GER-waarden'!$B$173:$B$191</xm:f>
          </x14:formula1>
          <xm:sqref>D24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50"/>
  <sheetViews>
    <sheetView workbookViewId="0"/>
  </sheetViews>
  <sheetFormatPr defaultColWidth="9.140625" defaultRowHeight="14.25"/>
  <cols>
    <col min="1" max="1" width="4.28515625" style="357" customWidth="1"/>
    <col min="2" max="2" width="3.7109375" style="357" customWidth="1"/>
    <col min="3" max="3" width="42.42578125" style="357" customWidth="1"/>
    <col min="4" max="4" width="22.140625" style="357" customWidth="1"/>
    <col min="5" max="5" width="19.28515625" style="357" customWidth="1"/>
    <col min="6" max="6" width="11.140625" style="357" customWidth="1"/>
    <col min="7" max="7" width="22.7109375" style="357" bestFit="1" customWidth="1"/>
    <col min="8" max="8" width="3.7109375" style="357" customWidth="1"/>
    <col min="9" max="256" width="9.140625" style="357"/>
    <col min="257" max="257" width="4.28515625" style="357" customWidth="1"/>
    <col min="258" max="258" width="3.7109375" style="357" customWidth="1"/>
    <col min="259" max="259" width="42.42578125" style="357" customWidth="1"/>
    <col min="260" max="260" width="22.140625" style="357" customWidth="1"/>
    <col min="261" max="261" width="19.28515625" style="357" customWidth="1"/>
    <col min="262" max="262" width="11.140625" style="357" customWidth="1"/>
    <col min="263" max="263" width="22.7109375" style="357" bestFit="1" customWidth="1"/>
    <col min="264" max="264" width="3.7109375" style="357" customWidth="1"/>
    <col min="265" max="512" width="9.140625" style="357"/>
    <col min="513" max="513" width="4.28515625" style="357" customWidth="1"/>
    <col min="514" max="514" width="3.7109375" style="357" customWidth="1"/>
    <col min="515" max="515" width="42.42578125" style="357" customWidth="1"/>
    <col min="516" max="516" width="22.140625" style="357" customWidth="1"/>
    <col min="517" max="517" width="19.28515625" style="357" customWidth="1"/>
    <col min="518" max="518" width="11.140625" style="357" customWidth="1"/>
    <col min="519" max="519" width="22.7109375" style="357" bestFit="1" customWidth="1"/>
    <col min="520" max="520" width="3.7109375" style="357" customWidth="1"/>
    <col min="521" max="768" width="9.140625" style="357"/>
    <col min="769" max="769" width="4.28515625" style="357" customWidth="1"/>
    <col min="770" max="770" width="3.7109375" style="357" customWidth="1"/>
    <col min="771" max="771" width="42.42578125" style="357" customWidth="1"/>
    <col min="772" max="772" width="22.140625" style="357" customWidth="1"/>
    <col min="773" max="773" width="19.28515625" style="357" customWidth="1"/>
    <col min="774" max="774" width="11.140625" style="357" customWidth="1"/>
    <col min="775" max="775" width="22.7109375" style="357" bestFit="1" customWidth="1"/>
    <col min="776" max="776" width="3.7109375" style="357" customWidth="1"/>
    <col min="777" max="1024" width="9.140625" style="357"/>
    <col min="1025" max="1025" width="4.28515625" style="357" customWidth="1"/>
    <col min="1026" max="1026" width="3.7109375" style="357" customWidth="1"/>
    <col min="1027" max="1027" width="42.42578125" style="357" customWidth="1"/>
    <col min="1028" max="1028" width="22.140625" style="357" customWidth="1"/>
    <col min="1029" max="1029" width="19.28515625" style="357" customWidth="1"/>
    <col min="1030" max="1030" width="11.140625" style="357" customWidth="1"/>
    <col min="1031" max="1031" width="22.7109375" style="357" bestFit="1" customWidth="1"/>
    <col min="1032" max="1032" width="3.7109375" style="357" customWidth="1"/>
    <col min="1033" max="1280" width="9.140625" style="357"/>
    <col min="1281" max="1281" width="4.28515625" style="357" customWidth="1"/>
    <col min="1282" max="1282" width="3.7109375" style="357" customWidth="1"/>
    <col min="1283" max="1283" width="42.42578125" style="357" customWidth="1"/>
    <col min="1284" max="1284" width="22.140625" style="357" customWidth="1"/>
    <col min="1285" max="1285" width="19.28515625" style="357" customWidth="1"/>
    <col min="1286" max="1286" width="11.140625" style="357" customWidth="1"/>
    <col min="1287" max="1287" width="22.7109375" style="357" bestFit="1" customWidth="1"/>
    <col min="1288" max="1288" width="3.7109375" style="357" customWidth="1"/>
    <col min="1289" max="1536" width="9.140625" style="357"/>
    <col min="1537" max="1537" width="4.28515625" style="357" customWidth="1"/>
    <col min="1538" max="1538" width="3.7109375" style="357" customWidth="1"/>
    <col min="1539" max="1539" width="42.42578125" style="357" customWidth="1"/>
    <col min="1540" max="1540" width="22.140625" style="357" customWidth="1"/>
    <col min="1541" max="1541" width="19.28515625" style="357" customWidth="1"/>
    <col min="1542" max="1542" width="11.140625" style="357" customWidth="1"/>
    <col min="1543" max="1543" width="22.7109375" style="357" bestFit="1" customWidth="1"/>
    <col min="1544" max="1544" width="3.7109375" style="357" customWidth="1"/>
    <col min="1545" max="1792" width="9.140625" style="357"/>
    <col min="1793" max="1793" width="4.28515625" style="357" customWidth="1"/>
    <col min="1794" max="1794" width="3.7109375" style="357" customWidth="1"/>
    <col min="1795" max="1795" width="42.42578125" style="357" customWidth="1"/>
    <col min="1796" max="1796" width="22.140625" style="357" customWidth="1"/>
    <col min="1797" max="1797" width="19.28515625" style="357" customWidth="1"/>
    <col min="1798" max="1798" width="11.140625" style="357" customWidth="1"/>
    <col min="1799" max="1799" width="22.7109375" style="357" bestFit="1" customWidth="1"/>
    <col min="1800" max="1800" width="3.7109375" style="357" customWidth="1"/>
    <col min="1801" max="2048" width="9.140625" style="357"/>
    <col min="2049" max="2049" width="4.28515625" style="357" customWidth="1"/>
    <col min="2050" max="2050" width="3.7109375" style="357" customWidth="1"/>
    <col min="2051" max="2051" width="42.42578125" style="357" customWidth="1"/>
    <col min="2052" max="2052" width="22.140625" style="357" customWidth="1"/>
    <col min="2053" max="2053" width="19.28515625" style="357" customWidth="1"/>
    <col min="2054" max="2054" width="11.140625" style="357" customWidth="1"/>
    <col min="2055" max="2055" width="22.7109375" style="357" bestFit="1" customWidth="1"/>
    <col min="2056" max="2056" width="3.7109375" style="357" customWidth="1"/>
    <col min="2057" max="2304" width="9.140625" style="357"/>
    <col min="2305" max="2305" width="4.28515625" style="357" customWidth="1"/>
    <col min="2306" max="2306" width="3.7109375" style="357" customWidth="1"/>
    <col min="2307" max="2307" width="42.42578125" style="357" customWidth="1"/>
    <col min="2308" max="2308" width="22.140625" style="357" customWidth="1"/>
    <col min="2309" max="2309" width="19.28515625" style="357" customWidth="1"/>
    <col min="2310" max="2310" width="11.140625" style="357" customWidth="1"/>
    <col min="2311" max="2311" width="22.7109375" style="357" bestFit="1" customWidth="1"/>
    <col min="2312" max="2312" width="3.7109375" style="357" customWidth="1"/>
    <col min="2313" max="2560" width="9.140625" style="357"/>
    <col min="2561" max="2561" width="4.28515625" style="357" customWidth="1"/>
    <col min="2562" max="2562" width="3.7109375" style="357" customWidth="1"/>
    <col min="2563" max="2563" width="42.42578125" style="357" customWidth="1"/>
    <col min="2564" max="2564" width="22.140625" style="357" customWidth="1"/>
    <col min="2565" max="2565" width="19.28515625" style="357" customWidth="1"/>
    <col min="2566" max="2566" width="11.140625" style="357" customWidth="1"/>
    <col min="2567" max="2567" width="22.7109375" style="357" bestFit="1" customWidth="1"/>
    <col min="2568" max="2568" width="3.7109375" style="357" customWidth="1"/>
    <col min="2569" max="2816" width="9.140625" style="357"/>
    <col min="2817" max="2817" width="4.28515625" style="357" customWidth="1"/>
    <col min="2818" max="2818" width="3.7109375" style="357" customWidth="1"/>
    <col min="2819" max="2819" width="42.42578125" style="357" customWidth="1"/>
    <col min="2820" max="2820" width="22.140625" style="357" customWidth="1"/>
    <col min="2821" max="2821" width="19.28515625" style="357" customWidth="1"/>
    <col min="2822" max="2822" width="11.140625" style="357" customWidth="1"/>
    <col min="2823" max="2823" width="22.7109375" style="357" bestFit="1" customWidth="1"/>
    <col min="2824" max="2824" width="3.7109375" style="357" customWidth="1"/>
    <col min="2825" max="3072" width="9.140625" style="357"/>
    <col min="3073" max="3073" width="4.28515625" style="357" customWidth="1"/>
    <col min="3074" max="3074" width="3.7109375" style="357" customWidth="1"/>
    <col min="3075" max="3075" width="42.42578125" style="357" customWidth="1"/>
    <col min="3076" max="3076" width="22.140625" style="357" customWidth="1"/>
    <col min="3077" max="3077" width="19.28515625" style="357" customWidth="1"/>
    <col min="3078" max="3078" width="11.140625" style="357" customWidth="1"/>
    <col min="3079" max="3079" width="22.7109375" style="357" bestFit="1" customWidth="1"/>
    <col min="3080" max="3080" width="3.7109375" style="357" customWidth="1"/>
    <col min="3081" max="3328" width="9.140625" style="357"/>
    <col min="3329" max="3329" width="4.28515625" style="357" customWidth="1"/>
    <col min="3330" max="3330" width="3.7109375" style="357" customWidth="1"/>
    <col min="3331" max="3331" width="42.42578125" style="357" customWidth="1"/>
    <col min="3332" max="3332" width="22.140625" style="357" customWidth="1"/>
    <col min="3333" max="3333" width="19.28515625" style="357" customWidth="1"/>
    <col min="3334" max="3334" width="11.140625" style="357" customWidth="1"/>
    <col min="3335" max="3335" width="22.7109375" style="357" bestFit="1" customWidth="1"/>
    <col min="3336" max="3336" width="3.7109375" style="357" customWidth="1"/>
    <col min="3337" max="3584" width="9.140625" style="357"/>
    <col min="3585" max="3585" width="4.28515625" style="357" customWidth="1"/>
    <col min="3586" max="3586" width="3.7109375" style="357" customWidth="1"/>
    <col min="3587" max="3587" width="42.42578125" style="357" customWidth="1"/>
    <col min="3588" max="3588" width="22.140625" style="357" customWidth="1"/>
    <col min="3589" max="3589" width="19.28515625" style="357" customWidth="1"/>
    <col min="3590" max="3590" width="11.140625" style="357" customWidth="1"/>
    <col min="3591" max="3591" width="22.7109375" style="357" bestFit="1" customWidth="1"/>
    <col min="3592" max="3592" width="3.7109375" style="357" customWidth="1"/>
    <col min="3593" max="3840" width="9.140625" style="357"/>
    <col min="3841" max="3841" width="4.28515625" style="357" customWidth="1"/>
    <col min="3842" max="3842" width="3.7109375" style="357" customWidth="1"/>
    <col min="3843" max="3843" width="42.42578125" style="357" customWidth="1"/>
    <col min="3844" max="3844" width="22.140625" style="357" customWidth="1"/>
    <col min="3845" max="3845" width="19.28515625" style="357" customWidth="1"/>
    <col min="3846" max="3846" width="11.140625" style="357" customWidth="1"/>
    <col min="3847" max="3847" width="22.7109375" style="357" bestFit="1" customWidth="1"/>
    <col min="3848" max="3848" width="3.7109375" style="357" customWidth="1"/>
    <col min="3849" max="4096" width="9.140625" style="357"/>
    <col min="4097" max="4097" width="4.28515625" style="357" customWidth="1"/>
    <col min="4098" max="4098" width="3.7109375" style="357" customWidth="1"/>
    <col min="4099" max="4099" width="42.42578125" style="357" customWidth="1"/>
    <col min="4100" max="4100" width="22.140625" style="357" customWidth="1"/>
    <col min="4101" max="4101" width="19.28515625" style="357" customWidth="1"/>
    <col min="4102" max="4102" width="11.140625" style="357" customWidth="1"/>
    <col min="4103" max="4103" width="22.7109375" style="357" bestFit="1" customWidth="1"/>
    <col min="4104" max="4104" width="3.7109375" style="357" customWidth="1"/>
    <col min="4105" max="4352" width="9.140625" style="357"/>
    <col min="4353" max="4353" width="4.28515625" style="357" customWidth="1"/>
    <col min="4354" max="4354" width="3.7109375" style="357" customWidth="1"/>
    <col min="4355" max="4355" width="42.42578125" style="357" customWidth="1"/>
    <col min="4356" max="4356" width="22.140625" style="357" customWidth="1"/>
    <col min="4357" max="4357" width="19.28515625" style="357" customWidth="1"/>
    <col min="4358" max="4358" width="11.140625" style="357" customWidth="1"/>
    <col min="4359" max="4359" width="22.7109375" style="357" bestFit="1" customWidth="1"/>
    <col min="4360" max="4360" width="3.7109375" style="357" customWidth="1"/>
    <col min="4361" max="4608" width="9.140625" style="357"/>
    <col min="4609" max="4609" width="4.28515625" style="357" customWidth="1"/>
    <col min="4610" max="4610" width="3.7109375" style="357" customWidth="1"/>
    <col min="4611" max="4611" width="42.42578125" style="357" customWidth="1"/>
    <col min="4612" max="4612" width="22.140625" style="357" customWidth="1"/>
    <col min="4613" max="4613" width="19.28515625" style="357" customWidth="1"/>
    <col min="4614" max="4614" width="11.140625" style="357" customWidth="1"/>
    <col min="4615" max="4615" width="22.7109375" style="357" bestFit="1" customWidth="1"/>
    <col min="4616" max="4616" width="3.7109375" style="357" customWidth="1"/>
    <col min="4617" max="4864" width="9.140625" style="357"/>
    <col min="4865" max="4865" width="4.28515625" style="357" customWidth="1"/>
    <col min="4866" max="4866" width="3.7109375" style="357" customWidth="1"/>
    <col min="4867" max="4867" width="42.42578125" style="357" customWidth="1"/>
    <col min="4868" max="4868" width="22.140625" style="357" customWidth="1"/>
    <col min="4869" max="4869" width="19.28515625" style="357" customWidth="1"/>
    <col min="4870" max="4870" width="11.140625" style="357" customWidth="1"/>
    <col min="4871" max="4871" width="22.7109375" style="357" bestFit="1" customWidth="1"/>
    <col min="4872" max="4872" width="3.7109375" style="357" customWidth="1"/>
    <col min="4873" max="5120" width="9.140625" style="357"/>
    <col min="5121" max="5121" width="4.28515625" style="357" customWidth="1"/>
    <col min="5122" max="5122" width="3.7109375" style="357" customWidth="1"/>
    <col min="5123" max="5123" width="42.42578125" style="357" customWidth="1"/>
    <col min="5124" max="5124" width="22.140625" style="357" customWidth="1"/>
    <col min="5125" max="5125" width="19.28515625" style="357" customWidth="1"/>
    <col min="5126" max="5126" width="11.140625" style="357" customWidth="1"/>
    <col min="5127" max="5127" width="22.7109375" style="357" bestFit="1" customWidth="1"/>
    <col min="5128" max="5128" width="3.7109375" style="357" customWidth="1"/>
    <col min="5129" max="5376" width="9.140625" style="357"/>
    <col min="5377" max="5377" width="4.28515625" style="357" customWidth="1"/>
    <col min="5378" max="5378" width="3.7109375" style="357" customWidth="1"/>
    <col min="5379" max="5379" width="42.42578125" style="357" customWidth="1"/>
    <col min="5380" max="5380" width="22.140625" style="357" customWidth="1"/>
    <col min="5381" max="5381" width="19.28515625" style="357" customWidth="1"/>
    <col min="5382" max="5382" width="11.140625" style="357" customWidth="1"/>
    <col min="5383" max="5383" width="22.7109375" style="357" bestFit="1" customWidth="1"/>
    <col min="5384" max="5384" width="3.7109375" style="357" customWidth="1"/>
    <col min="5385" max="5632" width="9.140625" style="357"/>
    <col min="5633" max="5633" width="4.28515625" style="357" customWidth="1"/>
    <col min="5634" max="5634" width="3.7109375" style="357" customWidth="1"/>
    <col min="5635" max="5635" width="42.42578125" style="357" customWidth="1"/>
    <col min="5636" max="5636" width="22.140625" style="357" customWidth="1"/>
    <col min="5637" max="5637" width="19.28515625" style="357" customWidth="1"/>
    <col min="5638" max="5638" width="11.140625" style="357" customWidth="1"/>
    <col min="5639" max="5639" width="22.7109375" style="357" bestFit="1" customWidth="1"/>
    <col min="5640" max="5640" width="3.7109375" style="357" customWidth="1"/>
    <col min="5641" max="5888" width="9.140625" style="357"/>
    <col min="5889" max="5889" width="4.28515625" style="357" customWidth="1"/>
    <col min="5890" max="5890" width="3.7109375" style="357" customWidth="1"/>
    <col min="5891" max="5891" width="42.42578125" style="357" customWidth="1"/>
    <col min="5892" max="5892" width="22.140625" style="357" customWidth="1"/>
    <col min="5893" max="5893" width="19.28515625" style="357" customWidth="1"/>
    <col min="5894" max="5894" width="11.140625" style="357" customWidth="1"/>
    <col min="5895" max="5895" width="22.7109375" style="357" bestFit="1" customWidth="1"/>
    <col min="5896" max="5896" width="3.7109375" style="357" customWidth="1"/>
    <col min="5897" max="6144" width="9.140625" style="357"/>
    <col min="6145" max="6145" width="4.28515625" style="357" customWidth="1"/>
    <col min="6146" max="6146" width="3.7109375" style="357" customWidth="1"/>
    <col min="6147" max="6147" width="42.42578125" style="357" customWidth="1"/>
    <col min="6148" max="6148" width="22.140625" style="357" customWidth="1"/>
    <col min="6149" max="6149" width="19.28515625" style="357" customWidth="1"/>
    <col min="6150" max="6150" width="11.140625" style="357" customWidth="1"/>
    <col min="6151" max="6151" width="22.7109375" style="357" bestFit="1" customWidth="1"/>
    <col min="6152" max="6152" width="3.7109375" style="357" customWidth="1"/>
    <col min="6153" max="6400" width="9.140625" style="357"/>
    <col min="6401" max="6401" width="4.28515625" style="357" customWidth="1"/>
    <col min="6402" max="6402" width="3.7109375" style="357" customWidth="1"/>
    <col min="6403" max="6403" width="42.42578125" style="357" customWidth="1"/>
    <col min="6404" max="6404" width="22.140625" style="357" customWidth="1"/>
    <col min="6405" max="6405" width="19.28515625" style="357" customWidth="1"/>
    <col min="6406" max="6406" width="11.140625" style="357" customWidth="1"/>
    <col min="6407" max="6407" width="22.7109375" style="357" bestFit="1" customWidth="1"/>
    <col min="6408" max="6408" width="3.7109375" style="357" customWidth="1"/>
    <col min="6409" max="6656" width="9.140625" style="357"/>
    <col min="6657" max="6657" width="4.28515625" style="357" customWidth="1"/>
    <col min="6658" max="6658" width="3.7109375" style="357" customWidth="1"/>
    <col min="6659" max="6659" width="42.42578125" style="357" customWidth="1"/>
    <col min="6660" max="6660" width="22.140625" style="357" customWidth="1"/>
    <col min="6661" max="6661" width="19.28515625" style="357" customWidth="1"/>
    <col min="6662" max="6662" width="11.140625" style="357" customWidth="1"/>
    <col min="6663" max="6663" width="22.7109375" style="357" bestFit="1" customWidth="1"/>
    <col min="6664" max="6664" width="3.7109375" style="357" customWidth="1"/>
    <col min="6665" max="6912" width="9.140625" style="357"/>
    <col min="6913" max="6913" width="4.28515625" style="357" customWidth="1"/>
    <col min="6914" max="6914" width="3.7109375" style="357" customWidth="1"/>
    <col min="6915" max="6915" width="42.42578125" style="357" customWidth="1"/>
    <col min="6916" max="6916" width="22.140625" style="357" customWidth="1"/>
    <col min="6917" max="6917" width="19.28515625" style="357" customWidth="1"/>
    <col min="6918" max="6918" width="11.140625" style="357" customWidth="1"/>
    <col min="6919" max="6919" width="22.7109375" style="357" bestFit="1" customWidth="1"/>
    <col min="6920" max="6920" width="3.7109375" style="357" customWidth="1"/>
    <col min="6921" max="7168" width="9.140625" style="357"/>
    <col min="7169" max="7169" width="4.28515625" style="357" customWidth="1"/>
    <col min="7170" max="7170" width="3.7109375" style="357" customWidth="1"/>
    <col min="7171" max="7171" width="42.42578125" style="357" customWidth="1"/>
    <col min="7172" max="7172" width="22.140625" style="357" customWidth="1"/>
    <col min="7173" max="7173" width="19.28515625" style="357" customWidth="1"/>
    <col min="7174" max="7174" width="11.140625" style="357" customWidth="1"/>
    <col min="7175" max="7175" width="22.7109375" style="357" bestFit="1" customWidth="1"/>
    <col min="7176" max="7176" width="3.7109375" style="357" customWidth="1"/>
    <col min="7177" max="7424" width="9.140625" style="357"/>
    <col min="7425" max="7425" width="4.28515625" style="357" customWidth="1"/>
    <col min="7426" max="7426" width="3.7109375" style="357" customWidth="1"/>
    <col min="7427" max="7427" width="42.42578125" style="357" customWidth="1"/>
    <col min="7428" max="7428" width="22.140625" style="357" customWidth="1"/>
    <col min="7429" max="7429" width="19.28515625" style="357" customWidth="1"/>
    <col min="7430" max="7430" width="11.140625" style="357" customWidth="1"/>
    <col min="7431" max="7431" width="22.7109375" style="357" bestFit="1" customWidth="1"/>
    <col min="7432" max="7432" width="3.7109375" style="357" customWidth="1"/>
    <col min="7433" max="7680" width="9.140625" style="357"/>
    <col min="7681" max="7681" width="4.28515625" style="357" customWidth="1"/>
    <col min="7682" max="7682" width="3.7109375" style="357" customWidth="1"/>
    <col min="7683" max="7683" width="42.42578125" style="357" customWidth="1"/>
    <col min="7684" max="7684" width="22.140625" style="357" customWidth="1"/>
    <col min="7685" max="7685" width="19.28515625" style="357" customWidth="1"/>
    <col min="7686" max="7686" width="11.140625" style="357" customWidth="1"/>
    <col min="7687" max="7687" width="22.7109375" style="357" bestFit="1" customWidth="1"/>
    <col min="7688" max="7688" width="3.7109375" style="357" customWidth="1"/>
    <col min="7689" max="7936" width="9.140625" style="357"/>
    <col min="7937" max="7937" width="4.28515625" style="357" customWidth="1"/>
    <col min="7938" max="7938" width="3.7109375" style="357" customWidth="1"/>
    <col min="7939" max="7939" width="42.42578125" style="357" customWidth="1"/>
    <col min="7940" max="7940" width="22.140625" style="357" customWidth="1"/>
    <col min="7941" max="7941" width="19.28515625" style="357" customWidth="1"/>
    <col min="7942" max="7942" width="11.140625" style="357" customWidth="1"/>
    <col min="7943" max="7943" width="22.7109375" style="357" bestFit="1" customWidth="1"/>
    <col min="7944" max="7944" width="3.7109375" style="357" customWidth="1"/>
    <col min="7945" max="8192" width="9.140625" style="357"/>
    <col min="8193" max="8193" width="4.28515625" style="357" customWidth="1"/>
    <col min="8194" max="8194" width="3.7109375" style="357" customWidth="1"/>
    <col min="8195" max="8195" width="42.42578125" style="357" customWidth="1"/>
    <col min="8196" max="8196" width="22.140625" style="357" customWidth="1"/>
    <col min="8197" max="8197" width="19.28515625" style="357" customWidth="1"/>
    <col min="8198" max="8198" width="11.140625" style="357" customWidth="1"/>
    <col min="8199" max="8199" width="22.7109375" style="357" bestFit="1" customWidth="1"/>
    <col min="8200" max="8200" width="3.7109375" style="357" customWidth="1"/>
    <col min="8201" max="8448" width="9.140625" style="357"/>
    <col min="8449" max="8449" width="4.28515625" style="357" customWidth="1"/>
    <col min="8450" max="8450" width="3.7109375" style="357" customWidth="1"/>
    <col min="8451" max="8451" width="42.42578125" style="357" customWidth="1"/>
    <col min="8452" max="8452" width="22.140625" style="357" customWidth="1"/>
    <col min="8453" max="8453" width="19.28515625" style="357" customWidth="1"/>
    <col min="8454" max="8454" width="11.140625" style="357" customWidth="1"/>
    <col min="8455" max="8455" width="22.7109375" style="357" bestFit="1" customWidth="1"/>
    <col min="8456" max="8456" width="3.7109375" style="357" customWidth="1"/>
    <col min="8457" max="8704" width="9.140625" style="357"/>
    <col min="8705" max="8705" width="4.28515625" style="357" customWidth="1"/>
    <col min="8706" max="8706" width="3.7109375" style="357" customWidth="1"/>
    <col min="8707" max="8707" width="42.42578125" style="357" customWidth="1"/>
    <col min="8708" max="8708" width="22.140625" style="357" customWidth="1"/>
    <col min="8709" max="8709" width="19.28515625" style="357" customWidth="1"/>
    <col min="8710" max="8710" width="11.140625" style="357" customWidth="1"/>
    <col min="8711" max="8711" width="22.7109375" style="357" bestFit="1" customWidth="1"/>
    <col min="8712" max="8712" width="3.7109375" style="357" customWidth="1"/>
    <col min="8713" max="8960" width="9.140625" style="357"/>
    <col min="8961" max="8961" width="4.28515625" style="357" customWidth="1"/>
    <col min="8962" max="8962" width="3.7109375" style="357" customWidth="1"/>
    <col min="8963" max="8963" width="42.42578125" style="357" customWidth="1"/>
    <col min="8964" max="8964" width="22.140625" style="357" customWidth="1"/>
    <col min="8965" max="8965" width="19.28515625" style="357" customWidth="1"/>
    <col min="8966" max="8966" width="11.140625" style="357" customWidth="1"/>
    <col min="8967" max="8967" width="22.7109375" style="357" bestFit="1" customWidth="1"/>
    <col min="8968" max="8968" width="3.7109375" style="357" customWidth="1"/>
    <col min="8969" max="9216" width="9.140625" style="357"/>
    <col min="9217" max="9217" width="4.28515625" style="357" customWidth="1"/>
    <col min="9218" max="9218" width="3.7109375" style="357" customWidth="1"/>
    <col min="9219" max="9219" width="42.42578125" style="357" customWidth="1"/>
    <col min="9220" max="9220" width="22.140625" style="357" customWidth="1"/>
    <col min="9221" max="9221" width="19.28515625" style="357" customWidth="1"/>
    <col min="9222" max="9222" width="11.140625" style="357" customWidth="1"/>
    <col min="9223" max="9223" width="22.7109375" style="357" bestFit="1" customWidth="1"/>
    <col min="9224" max="9224" width="3.7109375" style="357" customWidth="1"/>
    <col min="9225" max="9472" width="9.140625" style="357"/>
    <col min="9473" max="9473" width="4.28515625" style="357" customWidth="1"/>
    <col min="9474" max="9474" width="3.7109375" style="357" customWidth="1"/>
    <col min="9475" max="9475" width="42.42578125" style="357" customWidth="1"/>
    <col min="9476" max="9476" width="22.140625" style="357" customWidth="1"/>
    <col min="9477" max="9477" width="19.28515625" style="357" customWidth="1"/>
    <col min="9478" max="9478" width="11.140625" style="357" customWidth="1"/>
    <col min="9479" max="9479" width="22.7109375" style="357" bestFit="1" customWidth="1"/>
    <col min="9480" max="9480" width="3.7109375" style="357" customWidth="1"/>
    <col min="9481" max="9728" width="9.140625" style="357"/>
    <col min="9729" max="9729" width="4.28515625" style="357" customWidth="1"/>
    <col min="9730" max="9730" width="3.7109375" style="357" customWidth="1"/>
    <col min="9731" max="9731" width="42.42578125" style="357" customWidth="1"/>
    <col min="9732" max="9732" width="22.140625" style="357" customWidth="1"/>
    <col min="9733" max="9733" width="19.28515625" style="357" customWidth="1"/>
    <col min="9734" max="9734" width="11.140625" style="357" customWidth="1"/>
    <col min="9735" max="9735" width="22.7109375" style="357" bestFit="1" customWidth="1"/>
    <col min="9736" max="9736" width="3.7109375" style="357" customWidth="1"/>
    <col min="9737" max="9984" width="9.140625" style="357"/>
    <col min="9985" max="9985" width="4.28515625" style="357" customWidth="1"/>
    <col min="9986" max="9986" width="3.7109375" style="357" customWidth="1"/>
    <col min="9987" max="9987" width="42.42578125" style="357" customWidth="1"/>
    <col min="9988" max="9988" width="22.140625" style="357" customWidth="1"/>
    <col min="9989" max="9989" width="19.28515625" style="357" customWidth="1"/>
    <col min="9990" max="9990" width="11.140625" style="357" customWidth="1"/>
    <col min="9991" max="9991" width="22.7109375" style="357" bestFit="1" customWidth="1"/>
    <col min="9992" max="9992" width="3.7109375" style="357" customWidth="1"/>
    <col min="9993" max="10240" width="9.140625" style="357"/>
    <col min="10241" max="10241" width="4.28515625" style="357" customWidth="1"/>
    <col min="10242" max="10242" width="3.7109375" style="357" customWidth="1"/>
    <col min="10243" max="10243" width="42.42578125" style="357" customWidth="1"/>
    <col min="10244" max="10244" width="22.140625" style="357" customWidth="1"/>
    <col min="10245" max="10245" width="19.28515625" style="357" customWidth="1"/>
    <col min="10246" max="10246" width="11.140625" style="357" customWidth="1"/>
    <col min="10247" max="10247" width="22.7109375" style="357" bestFit="1" customWidth="1"/>
    <col min="10248" max="10248" width="3.7109375" style="357" customWidth="1"/>
    <col min="10249" max="10496" width="9.140625" style="357"/>
    <col min="10497" max="10497" width="4.28515625" style="357" customWidth="1"/>
    <col min="10498" max="10498" width="3.7109375" style="357" customWidth="1"/>
    <col min="10499" max="10499" width="42.42578125" style="357" customWidth="1"/>
    <col min="10500" max="10500" width="22.140625" style="357" customWidth="1"/>
    <col min="10501" max="10501" width="19.28515625" style="357" customWidth="1"/>
    <col min="10502" max="10502" width="11.140625" style="357" customWidth="1"/>
    <col min="10503" max="10503" width="22.7109375" style="357" bestFit="1" customWidth="1"/>
    <col min="10504" max="10504" width="3.7109375" style="357" customWidth="1"/>
    <col min="10505" max="10752" width="9.140625" style="357"/>
    <col min="10753" max="10753" width="4.28515625" style="357" customWidth="1"/>
    <col min="10754" max="10754" width="3.7109375" style="357" customWidth="1"/>
    <col min="10755" max="10755" width="42.42578125" style="357" customWidth="1"/>
    <col min="10756" max="10756" width="22.140625" style="357" customWidth="1"/>
    <col min="10757" max="10757" width="19.28515625" style="357" customWidth="1"/>
    <col min="10758" max="10758" width="11.140625" style="357" customWidth="1"/>
    <col min="10759" max="10759" width="22.7109375" style="357" bestFit="1" customWidth="1"/>
    <col min="10760" max="10760" width="3.7109375" style="357" customWidth="1"/>
    <col min="10761" max="11008" width="9.140625" style="357"/>
    <col min="11009" max="11009" width="4.28515625" style="357" customWidth="1"/>
    <col min="11010" max="11010" width="3.7109375" style="357" customWidth="1"/>
    <col min="11011" max="11011" width="42.42578125" style="357" customWidth="1"/>
    <col min="11012" max="11012" width="22.140625" style="357" customWidth="1"/>
    <col min="11013" max="11013" width="19.28515625" style="357" customWidth="1"/>
    <col min="11014" max="11014" width="11.140625" style="357" customWidth="1"/>
    <col min="11015" max="11015" width="22.7109375" style="357" bestFit="1" customWidth="1"/>
    <col min="11016" max="11016" width="3.7109375" style="357" customWidth="1"/>
    <col min="11017" max="11264" width="9.140625" style="357"/>
    <col min="11265" max="11265" width="4.28515625" style="357" customWidth="1"/>
    <col min="11266" max="11266" width="3.7109375" style="357" customWidth="1"/>
    <col min="11267" max="11267" width="42.42578125" style="357" customWidth="1"/>
    <col min="11268" max="11268" width="22.140625" style="357" customWidth="1"/>
    <col min="11269" max="11269" width="19.28515625" style="357" customWidth="1"/>
    <col min="11270" max="11270" width="11.140625" style="357" customWidth="1"/>
    <col min="11271" max="11271" width="22.7109375" style="357" bestFit="1" customWidth="1"/>
    <col min="11272" max="11272" width="3.7109375" style="357" customWidth="1"/>
    <col min="11273" max="11520" width="9.140625" style="357"/>
    <col min="11521" max="11521" width="4.28515625" style="357" customWidth="1"/>
    <col min="11522" max="11522" width="3.7109375" style="357" customWidth="1"/>
    <col min="11523" max="11523" width="42.42578125" style="357" customWidth="1"/>
    <col min="11524" max="11524" width="22.140625" style="357" customWidth="1"/>
    <col min="11525" max="11525" width="19.28515625" style="357" customWidth="1"/>
    <col min="11526" max="11526" width="11.140625" style="357" customWidth="1"/>
    <col min="11527" max="11527" width="22.7109375" style="357" bestFit="1" customWidth="1"/>
    <col min="11528" max="11528" width="3.7109375" style="357" customWidth="1"/>
    <col min="11529" max="11776" width="9.140625" style="357"/>
    <col min="11777" max="11777" width="4.28515625" style="357" customWidth="1"/>
    <col min="11778" max="11778" width="3.7109375" style="357" customWidth="1"/>
    <col min="11779" max="11779" width="42.42578125" style="357" customWidth="1"/>
    <col min="11780" max="11780" width="22.140625" style="357" customWidth="1"/>
    <col min="11781" max="11781" width="19.28515625" style="357" customWidth="1"/>
    <col min="11782" max="11782" width="11.140625" style="357" customWidth="1"/>
    <col min="11783" max="11783" width="22.7109375" style="357" bestFit="1" customWidth="1"/>
    <col min="11784" max="11784" width="3.7109375" style="357" customWidth="1"/>
    <col min="11785" max="12032" width="9.140625" style="357"/>
    <col min="12033" max="12033" width="4.28515625" style="357" customWidth="1"/>
    <col min="12034" max="12034" width="3.7109375" style="357" customWidth="1"/>
    <col min="12035" max="12035" width="42.42578125" style="357" customWidth="1"/>
    <col min="12036" max="12036" width="22.140625" style="357" customWidth="1"/>
    <col min="12037" max="12037" width="19.28515625" style="357" customWidth="1"/>
    <col min="12038" max="12038" width="11.140625" style="357" customWidth="1"/>
    <col min="12039" max="12039" width="22.7109375" style="357" bestFit="1" customWidth="1"/>
    <col min="12040" max="12040" width="3.7109375" style="357" customWidth="1"/>
    <col min="12041" max="12288" width="9.140625" style="357"/>
    <col min="12289" max="12289" width="4.28515625" style="357" customWidth="1"/>
    <col min="12290" max="12290" width="3.7109375" style="357" customWidth="1"/>
    <col min="12291" max="12291" width="42.42578125" style="357" customWidth="1"/>
    <col min="12292" max="12292" width="22.140625" style="357" customWidth="1"/>
    <col min="12293" max="12293" width="19.28515625" style="357" customWidth="1"/>
    <col min="12294" max="12294" width="11.140625" style="357" customWidth="1"/>
    <col min="12295" max="12295" width="22.7109375" style="357" bestFit="1" customWidth="1"/>
    <col min="12296" max="12296" width="3.7109375" style="357" customWidth="1"/>
    <col min="12297" max="12544" width="9.140625" style="357"/>
    <col min="12545" max="12545" width="4.28515625" style="357" customWidth="1"/>
    <col min="12546" max="12546" width="3.7109375" style="357" customWidth="1"/>
    <col min="12547" max="12547" width="42.42578125" style="357" customWidth="1"/>
    <col min="12548" max="12548" width="22.140625" style="357" customWidth="1"/>
    <col min="12549" max="12549" width="19.28515625" style="357" customWidth="1"/>
    <col min="12550" max="12550" width="11.140625" style="357" customWidth="1"/>
    <col min="12551" max="12551" width="22.7109375" style="357" bestFit="1" customWidth="1"/>
    <col min="12552" max="12552" width="3.7109375" style="357" customWidth="1"/>
    <col min="12553" max="12800" width="9.140625" style="357"/>
    <col min="12801" max="12801" width="4.28515625" style="357" customWidth="1"/>
    <col min="12802" max="12802" width="3.7109375" style="357" customWidth="1"/>
    <col min="12803" max="12803" width="42.42578125" style="357" customWidth="1"/>
    <col min="12804" max="12804" width="22.140625" style="357" customWidth="1"/>
    <col min="12805" max="12805" width="19.28515625" style="357" customWidth="1"/>
    <col min="12806" max="12806" width="11.140625" style="357" customWidth="1"/>
    <col min="12807" max="12807" width="22.7109375" style="357" bestFit="1" customWidth="1"/>
    <col min="12808" max="12808" width="3.7109375" style="357" customWidth="1"/>
    <col min="12809" max="13056" width="9.140625" style="357"/>
    <col min="13057" max="13057" width="4.28515625" style="357" customWidth="1"/>
    <col min="13058" max="13058" width="3.7109375" style="357" customWidth="1"/>
    <col min="13059" max="13059" width="42.42578125" style="357" customWidth="1"/>
    <col min="13060" max="13060" width="22.140625" style="357" customWidth="1"/>
    <col min="13061" max="13061" width="19.28515625" style="357" customWidth="1"/>
    <col min="13062" max="13062" width="11.140625" style="357" customWidth="1"/>
    <col min="13063" max="13063" width="22.7109375" style="357" bestFit="1" customWidth="1"/>
    <col min="13064" max="13064" width="3.7109375" style="357" customWidth="1"/>
    <col min="13065" max="13312" width="9.140625" style="357"/>
    <col min="13313" max="13313" width="4.28515625" style="357" customWidth="1"/>
    <col min="13314" max="13314" width="3.7109375" style="357" customWidth="1"/>
    <col min="13315" max="13315" width="42.42578125" style="357" customWidth="1"/>
    <col min="13316" max="13316" width="22.140625" style="357" customWidth="1"/>
    <col min="13317" max="13317" width="19.28515625" style="357" customWidth="1"/>
    <col min="13318" max="13318" width="11.140625" style="357" customWidth="1"/>
    <col min="13319" max="13319" width="22.7109375" style="357" bestFit="1" customWidth="1"/>
    <col min="13320" max="13320" width="3.7109375" style="357" customWidth="1"/>
    <col min="13321" max="13568" width="9.140625" style="357"/>
    <col min="13569" max="13569" width="4.28515625" style="357" customWidth="1"/>
    <col min="13570" max="13570" width="3.7109375" style="357" customWidth="1"/>
    <col min="13571" max="13571" width="42.42578125" style="357" customWidth="1"/>
    <col min="13572" max="13572" width="22.140625" style="357" customWidth="1"/>
    <col min="13573" max="13573" width="19.28515625" style="357" customWidth="1"/>
    <col min="13574" max="13574" width="11.140625" style="357" customWidth="1"/>
    <col min="13575" max="13575" width="22.7109375" style="357" bestFit="1" customWidth="1"/>
    <col min="13576" max="13576" width="3.7109375" style="357" customWidth="1"/>
    <col min="13577" max="13824" width="9.140625" style="357"/>
    <col min="13825" max="13825" width="4.28515625" style="357" customWidth="1"/>
    <col min="13826" max="13826" width="3.7109375" style="357" customWidth="1"/>
    <col min="13827" max="13827" width="42.42578125" style="357" customWidth="1"/>
    <col min="13828" max="13828" width="22.140625" style="357" customWidth="1"/>
    <col min="13829" max="13829" width="19.28515625" style="357" customWidth="1"/>
    <col min="13830" max="13830" width="11.140625" style="357" customWidth="1"/>
    <col min="13831" max="13831" width="22.7109375" style="357" bestFit="1" customWidth="1"/>
    <col min="13832" max="13832" width="3.7109375" style="357" customWidth="1"/>
    <col min="13833" max="14080" width="9.140625" style="357"/>
    <col min="14081" max="14081" width="4.28515625" style="357" customWidth="1"/>
    <col min="14082" max="14082" width="3.7109375" style="357" customWidth="1"/>
    <col min="14083" max="14083" width="42.42578125" style="357" customWidth="1"/>
    <col min="14084" max="14084" width="22.140625" style="357" customWidth="1"/>
    <col min="14085" max="14085" width="19.28515625" style="357" customWidth="1"/>
    <col min="14086" max="14086" width="11.140625" style="357" customWidth="1"/>
    <col min="14087" max="14087" width="22.7109375" style="357" bestFit="1" customWidth="1"/>
    <col min="14088" max="14088" width="3.7109375" style="357" customWidth="1"/>
    <col min="14089" max="14336" width="9.140625" style="357"/>
    <col min="14337" max="14337" width="4.28515625" style="357" customWidth="1"/>
    <col min="14338" max="14338" width="3.7109375" style="357" customWidth="1"/>
    <col min="14339" max="14339" width="42.42578125" style="357" customWidth="1"/>
    <col min="14340" max="14340" width="22.140625" style="357" customWidth="1"/>
    <col min="14341" max="14341" width="19.28515625" style="357" customWidth="1"/>
    <col min="14342" max="14342" width="11.140625" style="357" customWidth="1"/>
    <col min="14343" max="14343" width="22.7109375" style="357" bestFit="1" customWidth="1"/>
    <col min="14344" max="14344" width="3.7109375" style="357" customWidth="1"/>
    <col min="14345" max="14592" width="9.140625" style="357"/>
    <col min="14593" max="14593" width="4.28515625" style="357" customWidth="1"/>
    <col min="14594" max="14594" width="3.7109375" style="357" customWidth="1"/>
    <col min="14595" max="14595" width="42.42578125" style="357" customWidth="1"/>
    <col min="14596" max="14596" width="22.140625" style="357" customWidth="1"/>
    <col min="14597" max="14597" width="19.28515625" style="357" customWidth="1"/>
    <col min="14598" max="14598" width="11.140625" style="357" customWidth="1"/>
    <col min="14599" max="14599" width="22.7109375" style="357" bestFit="1" customWidth="1"/>
    <col min="14600" max="14600" width="3.7109375" style="357" customWidth="1"/>
    <col min="14601" max="14848" width="9.140625" style="357"/>
    <col min="14849" max="14849" width="4.28515625" style="357" customWidth="1"/>
    <col min="14850" max="14850" width="3.7109375" style="357" customWidth="1"/>
    <col min="14851" max="14851" width="42.42578125" style="357" customWidth="1"/>
    <col min="14852" max="14852" width="22.140625" style="357" customWidth="1"/>
    <col min="14853" max="14853" width="19.28515625" style="357" customWidth="1"/>
    <col min="14854" max="14854" width="11.140625" style="357" customWidth="1"/>
    <col min="14855" max="14855" width="22.7109375" style="357" bestFit="1" customWidth="1"/>
    <col min="14856" max="14856" width="3.7109375" style="357" customWidth="1"/>
    <col min="14857" max="15104" width="9.140625" style="357"/>
    <col min="15105" max="15105" width="4.28515625" style="357" customWidth="1"/>
    <col min="15106" max="15106" width="3.7109375" style="357" customWidth="1"/>
    <col min="15107" max="15107" width="42.42578125" style="357" customWidth="1"/>
    <col min="15108" max="15108" width="22.140625" style="357" customWidth="1"/>
    <col min="15109" max="15109" width="19.28515625" style="357" customWidth="1"/>
    <col min="15110" max="15110" width="11.140625" style="357" customWidth="1"/>
    <col min="15111" max="15111" width="22.7109375" style="357" bestFit="1" customWidth="1"/>
    <col min="15112" max="15112" width="3.7109375" style="357" customWidth="1"/>
    <col min="15113" max="15360" width="9.140625" style="357"/>
    <col min="15361" max="15361" width="4.28515625" style="357" customWidth="1"/>
    <col min="15362" max="15362" width="3.7109375" style="357" customWidth="1"/>
    <col min="15363" max="15363" width="42.42578125" style="357" customWidth="1"/>
    <col min="15364" max="15364" width="22.140625" style="357" customWidth="1"/>
    <col min="15365" max="15365" width="19.28515625" style="357" customWidth="1"/>
    <col min="15366" max="15366" width="11.140625" style="357" customWidth="1"/>
    <col min="15367" max="15367" width="22.7109375" style="357" bestFit="1" customWidth="1"/>
    <col min="15368" max="15368" width="3.7109375" style="357" customWidth="1"/>
    <col min="15369" max="15616" width="9.140625" style="357"/>
    <col min="15617" max="15617" width="4.28515625" style="357" customWidth="1"/>
    <col min="15618" max="15618" width="3.7109375" style="357" customWidth="1"/>
    <col min="15619" max="15619" width="42.42578125" style="357" customWidth="1"/>
    <col min="15620" max="15620" width="22.140625" style="357" customWidth="1"/>
    <col min="15621" max="15621" width="19.28515625" style="357" customWidth="1"/>
    <col min="15622" max="15622" width="11.140625" style="357" customWidth="1"/>
    <col min="15623" max="15623" width="22.7109375" style="357" bestFit="1" customWidth="1"/>
    <col min="15624" max="15624" width="3.7109375" style="357" customWidth="1"/>
    <col min="15625" max="15872" width="9.140625" style="357"/>
    <col min="15873" max="15873" width="4.28515625" style="357" customWidth="1"/>
    <col min="15874" max="15874" width="3.7109375" style="357" customWidth="1"/>
    <col min="15875" max="15875" width="42.42578125" style="357" customWidth="1"/>
    <col min="15876" max="15876" width="22.140625" style="357" customWidth="1"/>
    <col min="15877" max="15877" width="19.28515625" style="357" customWidth="1"/>
    <col min="15878" max="15878" width="11.140625" style="357" customWidth="1"/>
    <col min="15879" max="15879" width="22.7109375" style="357" bestFit="1" customWidth="1"/>
    <col min="15880" max="15880" width="3.7109375" style="357" customWidth="1"/>
    <col min="15881" max="16128" width="9.140625" style="357"/>
    <col min="16129" max="16129" width="4.28515625" style="357" customWidth="1"/>
    <col min="16130" max="16130" width="3.7109375" style="357" customWidth="1"/>
    <col min="16131" max="16131" width="42.42578125" style="357" customWidth="1"/>
    <col min="16132" max="16132" width="22.140625" style="357" customWidth="1"/>
    <col min="16133" max="16133" width="19.28515625" style="357" customWidth="1"/>
    <col min="16134" max="16134" width="11.140625" style="357" customWidth="1"/>
    <col min="16135" max="16135" width="22.7109375" style="357" bestFit="1" customWidth="1"/>
    <col min="16136" max="16136" width="3.7109375" style="357" customWidth="1"/>
    <col min="16137" max="16384" width="9.140625" style="357"/>
  </cols>
  <sheetData>
    <row r="1" spans="1:17" s="297" customFormat="1" ht="15.75" thickBot="1">
      <c r="A1" s="142"/>
      <c r="B1" s="142"/>
      <c r="C1" s="142"/>
      <c r="D1" s="142"/>
      <c r="E1" s="142"/>
      <c r="F1" s="142"/>
      <c r="G1" s="142"/>
      <c r="H1" s="142"/>
      <c r="I1" s="142"/>
    </row>
    <row r="2" spans="1:17" s="297" customFormat="1" ht="15">
      <c r="A2" s="142"/>
      <c r="B2" s="143"/>
      <c r="C2" s="144"/>
      <c r="D2" s="144"/>
      <c r="E2" s="145"/>
      <c r="F2" s="145"/>
      <c r="G2" s="145"/>
      <c r="H2" s="146"/>
      <c r="I2" s="142"/>
    </row>
    <row r="3" spans="1:17" s="297" customFormat="1" ht="15">
      <c r="A3" s="142"/>
      <c r="B3" s="147"/>
      <c r="C3" s="148" t="s">
        <v>125</v>
      </c>
      <c r="D3" s="149"/>
      <c r="E3" s="150"/>
      <c r="F3" s="149"/>
      <c r="G3" s="149"/>
      <c r="H3" s="151"/>
      <c r="I3" s="142"/>
    </row>
    <row r="4" spans="1:17" s="297" customFormat="1" ht="15">
      <c r="A4" s="142"/>
      <c r="B4" s="147"/>
      <c r="C4" s="153" t="s">
        <v>109</v>
      </c>
      <c r="D4" s="519" t="s">
        <v>194</v>
      </c>
      <c r="E4" s="520"/>
      <c r="F4" s="520"/>
      <c r="G4" s="521"/>
      <c r="H4" s="151"/>
      <c r="I4" s="142"/>
    </row>
    <row r="5" spans="1:17" s="297" customFormat="1" ht="15" customHeight="1">
      <c r="A5" s="142"/>
      <c r="B5" s="147"/>
      <c r="C5" s="154" t="s">
        <v>110</v>
      </c>
      <c r="D5" s="428" t="s">
        <v>111</v>
      </c>
      <c r="E5" s="428"/>
      <c r="F5" s="428"/>
      <c r="G5" s="428"/>
      <c r="H5" s="151"/>
      <c r="I5" s="142"/>
    </row>
    <row r="6" spans="1:17" s="297" customFormat="1" ht="14.25" customHeight="1">
      <c r="A6" s="142"/>
      <c r="B6" s="147"/>
      <c r="C6" s="154" t="s">
        <v>112</v>
      </c>
      <c r="D6" s="429" t="s">
        <v>181</v>
      </c>
      <c r="E6" s="425"/>
      <c r="F6" s="425"/>
      <c r="G6" s="426"/>
      <c r="H6" s="151"/>
      <c r="I6" s="142"/>
    </row>
    <row r="7" spans="1:17" s="297" customFormat="1" ht="14.25" customHeight="1">
      <c r="A7" s="142"/>
      <c r="B7" s="147"/>
      <c r="C7" s="154" t="s">
        <v>120</v>
      </c>
      <c r="D7" s="156" t="s">
        <v>196</v>
      </c>
      <c r="E7" s="157"/>
      <c r="F7" s="157"/>
      <c r="G7" s="158"/>
      <c r="H7" s="151"/>
      <c r="I7" s="142"/>
    </row>
    <row r="8" spans="1:17" s="297" customFormat="1" ht="17.25" customHeight="1">
      <c r="A8" s="142"/>
      <c r="B8" s="147"/>
      <c r="C8" s="154" t="s">
        <v>385</v>
      </c>
      <c r="D8" s="430">
        <v>2017</v>
      </c>
      <c r="E8" s="431"/>
      <c r="F8" s="431"/>
      <c r="G8" s="432"/>
      <c r="H8" s="151"/>
      <c r="I8" s="142"/>
    </row>
    <row r="9" spans="1:17" s="297" customFormat="1" ht="15">
      <c r="A9" s="142"/>
      <c r="B9" s="147"/>
      <c r="C9" s="154" t="s">
        <v>113</v>
      </c>
      <c r="D9" s="423">
        <v>0.5</v>
      </c>
      <c r="E9" s="423"/>
      <c r="F9" s="423"/>
      <c r="G9" s="423"/>
      <c r="H9" s="151"/>
      <c r="I9" s="142"/>
    </row>
    <row r="10" spans="1:17" s="297" customFormat="1" ht="14.25" customHeight="1">
      <c r="A10" s="142"/>
      <c r="B10" s="147"/>
      <c r="C10" s="154" t="s">
        <v>114</v>
      </c>
      <c r="D10" s="423">
        <v>1</v>
      </c>
      <c r="E10" s="423"/>
      <c r="F10" s="423"/>
      <c r="G10" s="423"/>
      <c r="H10" s="151"/>
      <c r="I10" s="142"/>
    </row>
    <row r="11" spans="1:17" s="297" customFormat="1" ht="15" customHeight="1">
      <c r="A11" s="142"/>
      <c r="B11" s="147"/>
      <c r="C11" s="154" t="s">
        <v>115</v>
      </c>
      <c r="D11" s="424">
        <f>F44</f>
        <v>7.9100000000000004E-2</v>
      </c>
      <c r="E11" s="425"/>
      <c r="F11" s="425"/>
      <c r="G11" s="426"/>
      <c r="H11" s="151"/>
      <c r="I11" s="142"/>
    </row>
    <row r="12" spans="1:17" s="297" customFormat="1" ht="15" customHeight="1">
      <c r="A12" s="142"/>
      <c r="B12" s="147"/>
      <c r="C12" s="154" t="s">
        <v>126</v>
      </c>
      <c r="D12" s="424">
        <f>D9*D11</f>
        <v>3.9550000000000002E-2</v>
      </c>
      <c r="E12" s="425"/>
      <c r="F12" s="425"/>
      <c r="G12" s="426"/>
      <c r="H12" s="151"/>
      <c r="I12" s="142"/>
    </row>
    <row r="13" spans="1:17" s="297" customFormat="1" ht="17.25" customHeight="1">
      <c r="A13" s="142"/>
      <c r="B13" s="147"/>
      <c r="C13" s="154" t="s">
        <v>291</v>
      </c>
      <c r="D13" s="424">
        <f>(IF(D8&lt;2017,4,2021-D8))*D11</f>
        <v>0.31640000000000001</v>
      </c>
      <c r="E13" s="425"/>
      <c r="F13" s="425"/>
      <c r="G13" s="426"/>
      <c r="H13" s="151"/>
      <c r="I13" s="142"/>
    </row>
    <row r="14" spans="1:17" s="297" customFormat="1" ht="14.25" customHeight="1">
      <c r="A14" s="142"/>
      <c r="B14" s="147"/>
      <c r="C14" s="154" t="s">
        <v>127</v>
      </c>
      <c r="D14" s="424">
        <f>D13*D9</f>
        <v>0.15820000000000001</v>
      </c>
      <c r="E14" s="425"/>
      <c r="F14" s="425"/>
      <c r="G14" s="426"/>
      <c r="H14" s="151"/>
      <c r="I14" s="142"/>
    </row>
    <row r="15" spans="1:17" s="297" customFormat="1" ht="14.25" customHeight="1" thickBot="1">
      <c r="A15" s="142"/>
      <c r="B15" s="160"/>
      <c r="C15" s="161"/>
      <c r="D15" s="162"/>
      <c r="E15" s="163"/>
      <c r="F15" s="163"/>
      <c r="G15" s="163"/>
      <c r="H15" s="164"/>
      <c r="I15" s="142"/>
    </row>
    <row r="16" spans="1:17" s="142" customFormat="1" ht="15.75" thickBot="1">
      <c r="A16" s="152"/>
      <c r="B16" s="155"/>
      <c r="C16" s="165"/>
      <c r="D16" s="166"/>
      <c r="E16" s="167"/>
      <c r="F16" s="167"/>
      <c r="G16" s="167"/>
      <c r="H16" s="165"/>
      <c r="I16" s="152"/>
      <c r="J16" s="152"/>
      <c r="K16" s="152"/>
      <c r="L16" s="152"/>
      <c r="M16" s="152"/>
      <c r="N16" s="152"/>
      <c r="O16" s="152"/>
      <c r="P16" s="152"/>
      <c r="Q16" s="152"/>
    </row>
    <row r="17" spans="2:17" s="142" customFormat="1" ht="16.5">
      <c r="B17" s="168"/>
      <c r="C17" s="169"/>
      <c r="D17" s="169"/>
      <c r="E17" s="170"/>
      <c r="F17" s="171"/>
      <c r="G17" s="171"/>
      <c r="H17" s="172"/>
    </row>
    <row r="18" spans="2:17" s="142" customFormat="1" ht="53.25" customHeight="1">
      <c r="B18" s="173"/>
      <c r="C18" s="464" t="s">
        <v>195</v>
      </c>
      <c r="D18" s="464"/>
      <c r="E18" s="464"/>
      <c r="F18" s="464"/>
      <c r="G18" s="174"/>
      <c r="H18" s="175"/>
    </row>
    <row r="19" spans="2:17" s="142" customFormat="1" ht="91.5" customHeight="1">
      <c r="B19" s="173"/>
      <c r="C19" s="465" t="s">
        <v>303</v>
      </c>
      <c r="D19" s="465"/>
      <c r="E19" s="465"/>
      <c r="F19" s="465"/>
      <c r="G19" s="465"/>
      <c r="H19" s="175"/>
    </row>
    <row r="20" spans="2:17" s="142" customFormat="1" ht="16.5">
      <c r="B20" s="176"/>
      <c r="C20" s="177"/>
      <c r="D20" s="178"/>
      <c r="E20" s="179"/>
      <c r="F20" s="179"/>
      <c r="G20" s="179"/>
      <c r="H20" s="151"/>
      <c r="J20" s="152"/>
      <c r="K20" s="152"/>
      <c r="L20" s="152"/>
      <c r="M20" s="152"/>
      <c r="N20" s="152"/>
      <c r="O20" s="152"/>
      <c r="P20" s="152"/>
      <c r="Q20" s="152"/>
    </row>
    <row r="21" spans="2:17" s="142" customFormat="1" ht="21.75" customHeight="1" thickBot="1">
      <c r="B21" s="173"/>
      <c r="C21" s="180" t="s">
        <v>121</v>
      </c>
      <c r="D21" s="181"/>
      <c r="E21" s="181"/>
      <c r="F21" s="181"/>
      <c r="G21" s="181"/>
      <c r="H21" s="175"/>
    </row>
    <row r="22" spans="2:17" s="142" customFormat="1" ht="27.75" customHeight="1">
      <c r="B22" s="176"/>
      <c r="C22" s="182"/>
      <c r="D22" s="298" t="s">
        <v>118</v>
      </c>
      <c r="E22" s="298" t="s">
        <v>267</v>
      </c>
      <c r="F22" s="184" t="s">
        <v>0</v>
      </c>
      <c r="G22" s="185" t="s">
        <v>3</v>
      </c>
      <c r="H22" s="175"/>
    </row>
    <row r="23" spans="2:17" s="142" customFormat="1" ht="30" customHeight="1">
      <c r="B23" s="176"/>
      <c r="C23" s="197" t="s">
        <v>201</v>
      </c>
      <c r="D23" s="276">
        <v>1000</v>
      </c>
      <c r="E23" s="276">
        <v>300</v>
      </c>
      <c r="F23" s="198" t="s">
        <v>52</v>
      </c>
      <c r="G23" s="358" t="s">
        <v>220</v>
      </c>
      <c r="H23" s="175"/>
    </row>
    <row r="24" spans="2:17" s="142" customFormat="1" ht="30" customHeight="1">
      <c r="B24" s="176"/>
      <c r="C24" s="190" t="s">
        <v>202</v>
      </c>
      <c r="D24" s="274">
        <v>0</v>
      </c>
      <c r="E24" s="274">
        <v>500</v>
      </c>
      <c r="F24" s="198" t="s">
        <v>52</v>
      </c>
      <c r="G24" s="358" t="s">
        <v>220</v>
      </c>
      <c r="H24" s="175"/>
    </row>
    <row r="25" spans="2:17" s="142" customFormat="1" ht="30" customHeight="1">
      <c r="B25" s="176"/>
      <c r="C25" s="190" t="s">
        <v>203</v>
      </c>
      <c r="D25" s="274">
        <v>0</v>
      </c>
      <c r="E25" s="274">
        <v>200</v>
      </c>
      <c r="F25" s="198" t="s">
        <v>52</v>
      </c>
      <c r="G25" s="358" t="s">
        <v>220</v>
      </c>
      <c r="H25" s="175"/>
    </row>
    <row r="26" spans="2:17" s="142" customFormat="1" ht="30" customHeight="1">
      <c r="B26" s="176"/>
      <c r="C26" s="190" t="s">
        <v>197</v>
      </c>
      <c r="D26" s="274">
        <v>200</v>
      </c>
      <c r="E26" s="274">
        <v>200</v>
      </c>
      <c r="F26" s="198" t="s">
        <v>200</v>
      </c>
      <c r="G26" s="358" t="s">
        <v>220</v>
      </c>
      <c r="H26" s="175"/>
    </row>
    <row r="27" spans="2:17" s="142" customFormat="1" ht="30" customHeight="1">
      <c r="B27" s="176"/>
      <c r="C27" s="190" t="s">
        <v>198</v>
      </c>
      <c r="D27" s="274">
        <v>200</v>
      </c>
      <c r="E27" s="274">
        <v>200</v>
      </c>
      <c r="F27" s="198" t="s">
        <v>200</v>
      </c>
      <c r="G27" s="358" t="s">
        <v>220</v>
      </c>
      <c r="H27" s="175"/>
    </row>
    <row r="28" spans="2:17" s="142" customFormat="1" ht="30" customHeight="1">
      <c r="B28" s="176"/>
      <c r="C28" s="190" t="s">
        <v>199</v>
      </c>
      <c r="D28" s="274">
        <v>250</v>
      </c>
      <c r="E28" s="274">
        <v>250</v>
      </c>
      <c r="F28" s="198" t="s">
        <v>200</v>
      </c>
      <c r="G28" s="358" t="s">
        <v>220</v>
      </c>
      <c r="H28" s="175"/>
    </row>
    <row r="29" spans="2:17" s="142" customFormat="1" ht="30" customHeight="1">
      <c r="B29" s="176"/>
      <c r="C29" s="190" t="s">
        <v>427</v>
      </c>
      <c r="D29" s="526">
        <f>'GER-waarden'!C53/1000</f>
        <v>1.4399999999999999E-3</v>
      </c>
      <c r="E29" s="526"/>
      <c r="F29" s="202" t="s">
        <v>189</v>
      </c>
      <c r="G29" s="206" t="s">
        <v>68</v>
      </c>
      <c r="H29" s="175"/>
    </row>
    <row r="30" spans="2:17" s="142" customFormat="1" ht="28.5" customHeight="1">
      <c r="B30" s="176"/>
      <c r="C30" s="201" t="s">
        <v>204</v>
      </c>
      <c r="D30" s="527">
        <f>('GER-waarden'!C54)/1000</f>
        <v>8.7000000000000001E-4</v>
      </c>
      <c r="E30" s="527"/>
      <c r="F30" s="202" t="s">
        <v>189</v>
      </c>
      <c r="G30" s="206" t="s">
        <v>68</v>
      </c>
      <c r="H30" s="175"/>
      <c r="I30" s="204"/>
    </row>
    <row r="31" spans="2:17" s="142" customFormat="1" ht="17.25" thickBot="1">
      <c r="B31" s="176"/>
      <c r="C31" s="209" t="s">
        <v>205</v>
      </c>
      <c r="D31" s="528">
        <f>('GER-waarden'!C55)/1000</f>
        <v>7.0999999999999991E-4</v>
      </c>
      <c r="E31" s="528"/>
      <c r="F31" s="210" t="s">
        <v>189</v>
      </c>
      <c r="G31" s="211" t="s">
        <v>68</v>
      </c>
      <c r="H31" s="175"/>
    </row>
    <row r="32" spans="2:17" s="142" customFormat="1" ht="17.25" customHeight="1">
      <c r="B32" s="176"/>
      <c r="C32" s="212"/>
      <c r="D32" s="234"/>
      <c r="E32" s="234"/>
      <c r="F32" s="234"/>
      <c r="G32" s="214"/>
      <c r="H32" s="175"/>
    </row>
    <row r="33" spans="2:18" s="142" customFormat="1" ht="17.25" customHeight="1" thickBot="1">
      <c r="B33" s="176"/>
      <c r="C33" s="235" t="s">
        <v>75</v>
      </c>
      <c r="D33" s="234"/>
      <c r="E33" s="234"/>
      <c r="F33" s="234"/>
      <c r="G33" s="214"/>
      <c r="H33" s="175"/>
    </row>
    <row r="34" spans="2:18" s="142" customFormat="1" ht="16.5">
      <c r="B34" s="176"/>
      <c r="C34" s="236" t="s">
        <v>260</v>
      </c>
      <c r="D34" s="237"/>
      <c r="E34" s="237"/>
      <c r="F34" s="238"/>
      <c r="G34" s="239"/>
      <c r="H34" s="175"/>
    </row>
    <row r="35" spans="2:18" s="142" customFormat="1" ht="35.450000000000003" customHeight="1">
      <c r="B35" s="176"/>
      <c r="C35" s="485" t="s">
        <v>167</v>
      </c>
      <c r="D35" s="486"/>
      <c r="E35" s="486"/>
      <c r="F35" s="308">
        <f>(D26*D23*D29)+(D24*D27*D30)+(D25*D28*D31)</f>
        <v>288</v>
      </c>
      <c r="G35" s="311" t="s">
        <v>76</v>
      </c>
      <c r="H35" s="175"/>
    </row>
    <row r="36" spans="2:18" s="142" customFormat="1" ht="33.6" customHeight="1" thickBot="1">
      <c r="B36" s="176"/>
      <c r="C36" s="470" t="s">
        <v>206</v>
      </c>
      <c r="D36" s="471"/>
      <c r="E36" s="471"/>
      <c r="F36" s="326">
        <f>F35/D23</f>
        <v>0.28799999999999998</v>
      </c>
      <c r="G36" s="315" t="s">
        <v>165</v>
      </c>
      <c r="H36" s="175"/>
    </row>
    <row r="37" spans="2:18" s="142" customFormat="1" ht="16.5">
      <c r="B37" s="176"/>
      <c r="C37" s="445" t="s">
        <v>282</v>
      </c>
      <c r="D37" s="446"/>
      <c r="E37" s="446"/>
      <c r="F37" s="245"/>
      <c r="G37" s="246"/>
      <c r="H37" s="175"/>
      <c r="R37" s="204"/>
    </row>
    <row r="38" spans="2:18" s="142" customFormat="1" ht="35.450000000000003" customHeight="1">
      <c r="B38" s="176"/>
      <c r="C38" s="515" t="s">
        <v>287</v>
      </c>
      <c r="D38" s="516"/>
      <c r="E38" s="516"/>
      <c r="F38" s="251">
        <f>(E23*E26*D29)+(E24*E27*D30)+(E25*E28*D31)</f>
        <v>208.89999999999998</v>
      </c>
      <c r="G38" s="311" t="s">
        <v>76</v>
      </c>
      <c r="H38" s="175"/>
    </row>
    <row r="39" spans="2:18" s="142" customFormat="1" ht="40.15" customHeight="1" thickBot="1">
      <c r="B39" s="176"/>
      <c r="C39" s="489" t="s">
        <v>288</v>
      </c>
      <c r="D39" s="490"/>
      <c r="E39" s="490"/>
      <c r="F39" s="330">
        <f>F38/(E23+E24+E25)</f>
        <v>0.20889999999999997</v>
      </c>
      <c r="G39" s="315" t="s">
        <v>165</v>
      </c>
      <c r="H39" s="318"/>
    </row>
    <row r="40" spans="2:18" s="142" customFormat="1" ht="16.5">
      <c r="B40" s="176"/>
      <c r="C40" s="319" t="s">
        <v>74</v>
      </c>
      <c r="D40" s="237"/>
      <c r="E40" s="237"/>
      <c r="F40" s="245"/>
      <c r="G40" s="239"/>
      <c r="H40" s="175"/>
    </row>
    <row r="41" spans="2:18" s="142" customFormat="1" ht="29.45" customHeight="1">
      <c r="B41" s="176"/>
      <c r="C41" s="515" t="s">
        <v>275</v>
      </c>
      <c r="D41" s="516"/>
      <c r="E41" s="516"/>
      <c r="F41" s="335">
        <f>F36-F39</f>
        <v>7.9100000000000004E-2</v>
      </c>
      <c r="G41" s="311" t="s">
        <v>165</v>
      </c>
      <c r="H41" s="175"/>
      <c r="J41" s="152"/>
    </row>
    <row r="42" spans="2:18" s="142" customFormat="1" ht="28.9" customHeight="1" thickBot="1">
      <c r="B42" s="176"/>
      <c r="C42" s="517" t="s">
        <v>24</v>
      </c>
      <c r="D42" s="518"/>
      <c r="E42" s="331"/>
      <c r="F42" s="321">
        <f>F41*(E23+E24+E25)</f>
        <v>79.100000000000009</v>
      </c>
      <c r="G42" s="315" t="s">
        <v>76</v>
      </c>
      <c r="H42" s="175"/>
    </row>
    <row r="43" spans="2:18" s="142" customFormat="1" ht="17.25" thickBot="1">
      <c r="B43" s="176"/>
      <c r="C43" s="212"/>
      <c r="D43" s="214"/>
      <c r="E43" s="214"/>
      <c r="F43" s="255"/>
      <c r="G43" s="214"/>
      <c r="H43" s="175"/>
    </row>
    <row r="44" spans="2:18" s="142" customFormat="1" ht="18" customHeight="1" thickBot="1">
      <c r="B44" s="176"/>
      <c r="C44" s="256" t="s">
        <v>259</v>
      </c>
      <c r="D44" s="214"/>
      <c r="E44" s="257"/>
      <c r="F44" s="258">
        <f>F42/1000</f>
        <v>7.9100000000000004E-2</v>
      </c>
      <c r="G44" s="259" t="s">
        <v>77</v>
      </c>
      <c r="H44" s="175"/>
    </row>
    <row r="45" spans="2:18" s="142" customFormat="1" ht="16.5">
      <c r="B45" s="176"/>
      <c r="C45" s="212"/>
      <c r="D45" s="260"/>
      <c r="E45" s="449"/>
      <c r="F45" s="450"/>
      <c r="G45" s="450"/>
      <c r="H45" s="175"/>
    </row>
    <row r="46" spans="2:18" s="142" customFormat="1" ht="18" customHeight="1">
      <c r="B46" s="176"/>
      <c r="C46" s="261" t="s">
        <v>128</v>
      </c>
      <c r="D46" s="262"/>
      <c r="E46" s="263"/>
      <c r="F46" s="262"/>
      <c r="G46" s="264"/>
      <c r="H46" s="175"/>
    </row>
    <row r="47" spans="2:18" s="142" customFormat="1" ht="63" customHeight="1">
      <c r="B47" s="176"/>
      <c r="C47" s="438" t="s">
        <v>263</v>
      </c>
      <c r="D47" s="436"/>
      <c r="E47" s="436"/>
      <c r="F47" s="436"/>
      <c r="G47" s="437"/>
      <c r="H47" s="175"/>
    </row>
    <row r="48" spans="2:18" s="142" customFormat="1" ht="15" customHeight="1" thickBot="1">
      <c r="B48" s="271"/>
      <c r="C48" s="272"/>
      <c r="D48" s="272"/>
      <c r="E48" s="272"/>
      <c r="F48" s="272"/>
      <c r="G48" s="272"/>
      <c r="H48" s="273"/>
    </row>
    <row r="49" s="142" customFormat="1" ht="15" customHeight="1"/>
    <row r="50" ht="14.25" customHeight="1"/>
  </sheetData>
  <protectedRanges>
    <protectedRange sqref="D23:E31" name="Bereik1_4_3"/>
  </protectedRanges>
  <mergeCells count="24">
    <mergeCell ref="C42:D42"/>
    <mergeCell ref="E45:G45"/>
    <mergeCell ref="C47:G47"/>
    <mergeCell ref="C36:E36"/>
    <mergeCell ref="C39:E39"/>
    <mergeCell ref="C37:E37"/>
    <mergeCell ref="C38:E38"/>
    <mergeCell ref="C41:E41"/>
    <mergeCell ref="C18:F18"/>
    <mergeCell ref="C19:G19"/>
    <mergeCell ref="C35:E35"/>
    <mergeCell ref="D10:G10"/>
    <mergeCell ref="D11:G11"/>
    <mergeCell ref="D12:G12"/>
    <mergeCell ref="D13:G13"/>
    <mergeCell ref="D14:G14"/>
    <mergeCell ref="D29:E29"/>
    <mergeCell ref="D30:E30"/>
    <mergeCell ref="D31:E31"/>
    <mergeCell ref="D4:G4"/>
    <mergeCell ref="D5:G5"/>
    <mergeCell ref="D6:G6"/>
    <mergeCell ref="D8:G8"/>
    <mergeCell ref="D9:G9"/>
  </mergeCells>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R46"/>
  <sheetViews>
    <sheetView zoomScale="80" zoomScaleNormal="80" workbookViewId="0"/>
  </sheetViews>
  <sheetFormatPr defaultColWidth="8.85546875" defaultRowHeight="12.75"/>
  <cols>
    <col min="1" max="2" width="3.7109375" style="297" customWidth="1"/>
    <col min="3" max="3" width="61.28515625" style="297" customWidth="1"/>
    <col min="4" max="4" width="21.42578125" style="297" customWidth="1"/>
    <col min="5" max="5" width="18.28515625" style="297" customWidth="1"/>
    <col min="6" max="6" width="12.28515625" style="297" customWidth="1"/>
    <col min="7" max="7" width="23.85546875" style="297" customWidth="1"/>
    <col min="8" max="8" width="3.7109375" style="297" customWidth="1"/>
    <col min="9" max="9" width="4.28515625" style="297" customWidth="1"/>
    <col min="10" max="16384" width="8.85546875" style="297"/>
  </cols>
  <sheetData>
    <row r="2" spans="1:11" s="142" customFormat="1" ht="15">
      <c r="B2" s="415" t="s">
        <v>425</v>
      </c>
      <c r="C2" s="416"/>
      <c r="D2" s="416"/>
      <c r="E2" s="416"/>
      <c r="F2" s="416"/>
      <c r="G2" s="416"/>
      <c r="H2" s="417"/>
    </row>
    <row r="3" spans="1:11" ht="15.75" thickBot="1">
      <c r="A3" s="142"/>
      <c r="B3" s="142"/>
      <c r="C3" s="142"/>
      <c r="D3" s="142"/>
      <c r="E3" s="142"/>
      <c r="F3" s="142"/>
      <c r="G3" s="142"/>
      <c r="H3" s="142"/>
      <c r="I3" s="142"/>
    </row>
    <row r="4" spans="1:11" ht="15">
      <c r="A4" s="142"/>
      <c r="B4" s="143"/>
      <c r="C4" s="144"/>
      <c r="D4" s="144"/>
      <c r="E4" s="145"/>
      <c r="F4" s="145"/>
      <c r="G4" s="145"/>
      <c r="H4" s="146"/>
      <c r="I4" s="142"/>
    </row>
    <row r="5" spans="1:11" ht="15">
      <c r="A5" s="142"/>
      <c r="B5" s="147"/>
      <c r="C5" s="148" t="s">
        <v>125</v>
      </c>
      <c r="D5" s="149"/>
      <c r="E5" s="150"/>
      <c r="F5" s="149"/>
      <c r="G5" s="149"/>
      <c r="H5" s="151"/>
      <c r="I5" s="142"/>
    </row>
    <row r="6" spans="1:11" ht="15">
      <c r="A6" s="142"/>
      <c r="B6" s="147"/>
      <c r="C6" s="153" t="s">
        <v>109</v>
      </c>
      <c r="D6" s="519" t="s">
        <v>305</v>
      </c>
      <c r="E6" s="520"/>
      <c r="F6" s="520"/>
      <c r="G6" s="521"/>
      <c r="H6" s="151"/>
      <c r="I6" s="142"/>
    </row>
    <row r="7" spans="1:11" ht="15" customHeight="1">
      <c r="A7" s="142"/>
      <c r="B7" s="147"/>
      <c r="C7" s="154" t="s">
        <v>110</v>
      </c>
      <c r="D7" s="428" t="s">
        <v>111</v>
      </c>
      <c r="E7" s="428"/>
      <c r="F7" s="428"/>
      <c r="G7" s="428"/>
      <c r="H7" s="151"/>
      <c r="I7" s="142"/>
    </row>
    <row r="8" spans="1:11" ht="14.25" customHeight="1">
      <c r="A8" s="142"/>
      <c r="B8" s="147"/>
      <c r="C8" s="154" t="s">
        <v>112</v>
      </c>
      <c r="D8" s="429" t="s">
        <v>181</v>
      </c>
      <c r="E8" s="425"/>
      <c r="F8" s="425"/>
      <c r="G8" s="426"/>
      <c r="H8" s="151"/>
      <c r="I8" s="142"/>
    </row>
    <row r="9" spans="1:11" ht="14.25" customHeight="1">
      <c r="A9" s="142"/>
      <c r="B9" s="147"/>
      <c r="C9" s="154" t="s">
        <v>120</v>
      </c>
      <c r="D9" s="156" t="s">
        <v>182</v>
      </c>
      <c r="E9" s="157"/>
      <c r="F9" s="157"/>
      <c r="G9" s="158"/>
      <c r="H9" s="151"/>
      <c r="I9" s="142"/>
    </row>
    <row r="10" spans="1:11" ht="17.25" customHeight="1">
      <c r="A10" s="142"/>
      <c r="B10" s="147"/>
      <c r="C10" s="154" t="s">
        <v>385</v>
      </c>
      <c r="D10" s="430">
        <v>2017</v>
      </c>
      <c r="E10" s="431"/>
      <c r="F10" s="431"/>
      <c r="G10" s="432"/>
      <c r="H10" s="151"/>
      <c r="I10" s="142"/>
    </row>
    <row r="11" spans="1:11" ht="15">
      <c r="A11" s="142"/>
      <c r="B11" s="147"/>
      <c r="C11" s="154" t="s">
        <v>113</v>
      </c>
      <c r="D11" s="423">
        <v>0.5</v>
      </c>
      <c r="E11" s="423"/>
      <c r="F11" s="423"/>
      <c r="G11" s="423"/>
      <c r="H11" s="151"/>
      <c r="I11" s="142"/>
    </row>
    <row r="12" spans="1:11" ht="14.25" customHeight="1">
      <c r="A12" s="142"/>
      <c r="B12" s="147"/>
      <c r="C12" s="154" t="s">
        <v>114</v>
      </c>
      <c r="D12" s="423">
        <v>1</v>
      </c>
      <c r="E12" s="423"/>
      <c r="F12" s="423"/>
      <c r="G12" s="423"/>
      <c r="H12" s="151"/>
      <c r="I12" s="142"/>
    </row>
    <row r="13" spans="1:11" ht="15" customHeight="1">
      <c r="A13" s="142"/>
      <c r="B13" s="147"/>
      <c r="C13" s="418" t="s">
        <v>117</v>
      </c>
      <c r="D13" s="424">
        <f>F41</f>
        <v>0.29400000000000004</v>
      </c>
      <c r="E13" s="425"/>
      <c r="F13" s="425"/>
      <c r="G13" s="426"/>
      <c r="H13" s="151"/>
      <c r="I13" s="142"/>
    </row>
    <row r="14" spans="1:11" ht="15" customHeight="1">
      <c r="A14" s="142"/>
      <c r="B14" s="147"/>
      <c r="C14" s="418" t="s">
        <v>218</v>
      </c>
      <c r="D14" s="424">
        <f>D11*D13</f>
        <v>0.14700000000000002</v>
      </c>
      <c r="E14" s="425"/>
      <c r="F14" s="425"/>
      <c r="G14" s="426"/>
      <c r="H14" s="151"/>
      <c r="I14" s="142"/>
      <c r="K14" s="336"/>
    </row>
    <row r="15" spans="1:11" ht="17.25" customHeight="1">
      <c r="A15" s="142"/>
      <c r="B15" s="147"/>
      <c r="C15" s="418" t="s">
        <v>384</v>
      </c>
      <c r="D15" s="424">
        <f>(IF(D10&lt;2017,4,2021-D10))*D13</f>
        <v>1.1760000000000002</v>
      </c>
      <c r="E15" s="425"/>
      <c r="F15" s="425"/>
      <c r="G15" s="426"/>
      <c r="H15" s="151"/>
      <c r="I15" s="142"/>
    </row>
    <row r="16" spans="1:11" ht="14.25" customHeight="1">
      <c r="A16" s="142"/>
      <c r="B16" s="147"/>
      <c r="C16" s="418" t="s">
        <v>219</v>
      </c>
      <c r="D16" s="424">
        <f>D15*D11</f>
        <v>0.58800000000000008</v>
      </c>
      <c r="E16" s="425"/>
      <c r="F16" s="425"/>
      <c r="G16" s="426"/>
      <c r="H16" s="151"/>
      <c r="I16" s="142"/>
    </row>
    <row r="17" spans="1:17" ht="14.25" customHeight="1" thickBot="1">
      <c r="A17" s="142"/>
      <c r="B17" s="160"/>
      <c r="C17" s="161"/>
      <c r="D17" s="162"/>
      <c r="E17" s="163"/>
      <c r="F17" s="163"/>
      <c r="G17" s="163"/>
      <c r="H17" s="164"/>
      <c r="I17" s="142"/>
    </row>
    <row r="18" spans="1:17" s="142" customFormat="1" ht="15.75" thickBot="1">
      <c r="A18" s="152"/>
      <c r="B18" s="155"/>
      <c r="C18" s="165"/>
      <c r="D18" s="166"/>
      <c r="E18" s="167"/>
      <c r="F18" s="167"/>
      <c r="G18" s="167"/>
      <c r="H18" s="165"/>
      <c r="I18" s="152"/>
      <c r="J18" s="152"/>
      <c r="K18" s="152"/>
      <c r="L18" s="152"/>
      <c r="M18" s="152"/>
      <c r="N18" s="152"/>
      <c r="O18" s="152"/>
      <c r="P18" s="152"/>
      <c r="Q18" s="152"/>
    </row>
    <row r="19" spans="1:17" s="142" customFormat="1" ht="16.5">
      <c r="B19" s="168"/>
      <c r="C19" s="169"/>
      <c r="D19" s="169"/>
      <c r="E19" s="170"/>
      <c r="F19" s="171"/>
      <c r="G19" s="171"/>
      <c r="H19" s="172"/>
    </row>
    <row r="20" spans="1:17" s="142" customFormat="1" ht="50.25" customHeight="1">
      <c r="B20" s="173"/>
      <c r="C20" s="464" t="s">
        <v>306</v>
      </c>
      <c r="D20" s="464"/>
      <c r="E20" s="464"/>
      <c r="F20" s="464"/>
      <c r="G20" s="174"/>
      <c r="H20" s="175"/>
    </row>
    <row r="21" spans="1:17" s="142" customFormat="1" ht="111" customHeight="1">
      <c r="B21" s="173"/>
      <c r="C21" s="465" t="s">
        <v>307</v>
      </c>
      <c r="D21" s="465"/>
      <c r="E21" s="465"/>
      <c r="F21" s="465"/>
      <c r="G21" s="465"/>
      <c r="H21" s="175"/>
    </row>
    <row r="22" spans="1:17" s="142" customFormat="1" ht="16.5">
      <c r="B22" s="176"/>
      <c r="C22" s="177"/>
      <c r="D22" s="178"/>
      <c r="E22" s="179"/>
      <c r="F22" s="179"/>
      <c r="G22" s="179"/>
      <c r="H22" s="151"/>
      <c r="J22" s="152"/>
      <c r="K22" s="152"/>
      <c r="L22" s="152"/>
      <c r="M22" s="152"/>
      <c r="N22" s="152"/>
      <c r="O22" s="152"/>
      <c r="P22" s="152"/>
      <c r="Q22" s="152"/>
    </row>
    <row r="23" spans="1:17" s="142" customFormat="1" ht="21.75" customHeight="1" thickBot="1">
      <c r="B23" s="173"/>
      <c r="C23" s="180" t="s">
        <v>121</v>
      </c>
      <c r="D23" s="181"/>
      <c r="E23" s="181"/>
      <c r="F23" s="181"/>
      <c r="G23" s="181"/>
      <c r="H23" s="175"/>
    </row>
    <row r="24" spans="1:17" s="142" customFormat="1" ht="27.75" customHeight="1">
      <c r="B24" s="176"/>
      <c r="C24" s="182"/>
      <c r="D24" s="298" t="s">
        <v>118</v>
      </c>
      <c r="E24" s="298" t="s">
        <v>267</v>
      </c>
      <c r="F24" s="184" t="s">
        <v>0</v>
      </c>
      <c r="G24" s="185" t="s">
        <v>3</v>
      </c>
      <c r="H24" s="175"/>
    </row>
    <row r="25" spans="1:17" s="142" customFormat="1" ht="27.75" customHeight="1">
      <c r="B25" s="176"/>
      <c r="C25" s="348" t="s">
        <v>119</v>
      </c>
      <c r="D25" s="276">
        <v>70000</v>
      </c>
      <c r="E25" s="276">
        <v>70000</v>
      </c>
      <c r="F25" s="349" t="s">
        <v>51</v>
      </c>
      <c r="G25" s="279" t="s">
        <v>220</v>
      </c>
      <c r="H25" s="175"/>
    </row>
    <row r="26" spans="1:17" s="142" customFormat="1" ht="27.75" customHeight="1">
      <c r="B26" s="176"/>
      <c r="C26" s="350" t="s">
        <v>216</v>
      </c>
      <c r="D26" s="275">
        <v>0.5</v>
      </c>
      <c r="E26" s="275">
        <v>0.5</v>
      </c>
      <c r="F26" s="351" t="s">
        <v>217</v>
      </c>
      <c r="G26" s="279" t="s">
        <v>220</v>
      </c>
      <c r="H26" s="175"/>
    </row>
    <row r="27" spans="1:17" s="142" customFormat="1" ht="30" customHeight="1">
      <c r="B27" s="176"/>
      <c r="C27" s="352" t="s">
        <v>429</v>
      </c>
      <c r="D27" s="274">
        <v>1250</v>
      </c>
      <c r="E27" s="274">
        <v>750</v>
      </c>
      <c r="F27" s="353" t="s">
        <v>116</v>
      </c>
      <c r="G27" s="279" t="s">
        <v>220</v>
      </c>
      <c r="H27" s="175"/>
    </row>
    <row r="28" spans="1:17" s="142" customFormat="1" ht="30.6" customHeight="1" thickBot="1">
      <c r="B28" s="176"/>
      <c r="C28" s="354" t="s">
        <v>428</v>
      </c>
      <c r="D28" s="529">
        <v>1.6799999999999999E-2</v>
      </c>
      <c r="E28" s="529"/>
      <c r="F28" s="355" t="s">
        <v>212</v>
      </c>
      <c r="G28" s="356" t="s">
        <v>213</v>
      </c>
      <c r="H28" s="175"/>
    </row>
    <row r="29" spans="1:17" s="142" customFormat="1" ht="17.25" customHeight="1">
      <c r="B29" s="176"/>
      <c r="C29" s="212"/>
      <c r="D29" s="234"/>
      <c r="E29" s="234"/>
      <c r="F29" s="234"/>
      <c r="G29" s="214"/>
      <c r="H29" s="175"/>
    </row>
    <row r="30" spans="1:17" s="142" customFormat="1" ht="17.25" customHeight="1" thickBot="1">
      <c r="B30" s="176"/>
      <c r="C30" s="235" t="s">
        <v>75</v>
      </c>
      <c r="D30" s="234"/>
      <c r="E30" s="234"/>
      <c r="F30" s="234"/>
      <c r="G30" s="214"/>
      <c r="H30" s="175"/>
      <c r="K30" s="152"/>
    </row>
    <row r="31" spans="1:17" s="142" customFormat="1" ht="16.5">
      <c r="B31" s="176"/>
      <c r="C31" s="236" t="s">
        <v>415</v>
      </c>
      <c r="D31" s="237"/>
      <c r="E31" s="237"/>
      <c r="F31" s="238"/>
      <c r="G31" s="239"/>
      <c r="H31" s="175"/>
    </row>
    <row r="32" spans="1:17" s="142" customFormat="1" ht="42.6" customHeight="1">
      <c r="B32" s="176"/>
      <c r="C32" s="515" t="s">
        <v>418</v>
      </c>
      <c r="D32" s="516"/>
      <c r="E32" s="516"/>
      <c r="F32" s="251">
        <f>((D26*D27*D25)*D28)/1000</f>
        <v>735</v>
      </c>
      <c r="G32" s="309" t="s">
        <v>214</v>
      </c>
      <c r="H32" s="175"/>
    </row>
    <row r="33" spans="2:18" s="142" customFormat="1" ht="33.6" customHeight="1" thickBot="1">
      <c r="B33" s="176"/>
      <c r="C33" s="489" t="s">
        <v>419</v>
      </c>
      <c r="D33" s="490"/>
      <c r="E33" s="490"/>
      <c r="F33" s="330">
        <f>F32/D25</f>
        <v>1.0500000000000001E-2</v>
      </c>
      <c r="G33" s="243" t="s">
        <v>217</v>
      </c>
      <c r="H33" s="175"/>
    </row>
    <row r="34" spans="2:18" s="142" customFormat="1" ht="16.5">
      <c r="B34" s="176"/>
      <c r="C34" s="445" t="s">
        <v>416</v>
      </c>
      <c r="D34" s="446"/>
      <c r="E34" s="446"/>
      <c r="F34" s="245"/>
      <c r="G34" s="246"/>
      <c r="H34" s="175"/>
      <c r="R34" s="204"/>
    </row>
    <row r="35" spans="2:18" s="142" customFormat="1" ht="35.450000000000003" customHeight="1">
      <c r="B35" s="176"/>
      <c r="C35" s="485" t="s">
        <v>420</v>
      </c>
      <c r="D35" s="486"/>
      <c r="E35" s="486"/>
      <c r="F35" s="308">
        <f>((E27*E25*E26)*D28)/1000</f>
        <v>441</v>
      </c>
      <c r="G35" s="309" t="s">
        <v>214</v>
      </c>
      <c r="H35" s="175"/>
    </row>
    <row r="36" spans="2:18" s="142" customFormat="1" ht="40.15" customHeight="1" thickBot="1">
      <c r="B36" s="176"/>
      <c r="C36" s="470" t="s">
        <v>421</v>
      </c>
      <c r="D36" s="471"/>
      <c r="E36" s="471"/>
      <c r="F36" s="326">
        <f>F35/E25</f>
        <v>6.3E-3</v>
      </c>
      <c r="G36" s="243" t="s">
        <v>217</v>
      </c>
      <c r="H36" s="318"/>
    </row>
    <row r="37" spans="2:18" s="142" customFormat="1" ht="16.5">
      <c r="B37" s="176"/>
      <c r="C37" s="319" t="s">
        <v>417</v>
      </c>
      <c r="D37" s="237"/>
      <c r="E37" s="237"/>
      <c r="F37" s="245"/>
      <c r="G37" s="239"/>
      <c r="H37" s="175"/>
    </row>
    <row r="38" spans="2:18" s="142" customFormat="1" ht="29.45" customHeight="1">
      <c r="B38" s="176"/>
      <c r="C38" s="485" t="s">
        <v>422</v>
      </c>
      <c r="D38" s="486"/>
      <c r="E38" s="486"/>
      <c r="F38" s="335">
        <f>F33-F36</f>
        <v>4.2000000000000006E-3</v>
      </c>
      <c r="G38" s="311" t="s">
        <v>217</v>
      </c>
      <c r="H38" s="175"/>
      <c r="J38" s="152"/>
    </row>
    <row r="39" spans="2:18" s="142" customFormat="1" ht="28.9" customHeight="1" thickBot="1">
      <c r="B39" s="176"/>
      <c r="C39" s="489" t="s">
        <v>423</v>
      </c>
      <c r="D39" s="490"/>
      <c r="E39" s="490"/>
      <c r="F39" s="321">
        <f>F38*E25</f>
        <v>294.00000000000006</v>
      </c>
      <c r="G39" s="315" t="s">
        <v>214</v>
      </c>
      <c r="H39" s="175"/>
    </row>
    <row r="40" spans="2:18" s="142" customFormat="1" ht="17.25" thickBot="1">
      <c r="B40" s="176"/>
      <c r="C40" s="212"/>
      <c r="D40" s="214"/>
      <c r="E40" s="214"/>
      <c r="F40" s="255"/>
      <c r="G40" s="214"/>
      <c r="H40" s="175"/>
    </row>
    <row r="41" spans="2:18" s="142" customFormat="1" ht="18" customHeight="1" thickBot="1">
      <c r="B41" s="176"/>
      <c r="C41" s="256" t="s">
        <v>259</v>
      </c>
      <c r="D41" s="214"/>
      <c r="E41" s="257"/>
      <c r="F41" s="258">
        <f>F39/1000</f>
        <v>0.29400000000000004</v>
      </c>
      <c r="G41" s="259" t="s">
        <v>424</v>
      </c>
      <c r="H41" s="175"/>
    </row>
    <row r="42" spans="2:18" s="142" customFormat="1" ht="16.5">
      <c r="B42" s="176"/>
      <c r="C42" s="212"/>
      <c r="D42" s="260"/>
      <c r="E42" s="449"/>
      <c r="F42" s="450"/>
      <c r="G42" s="450"/>
      <c r="H42" s="175"/>
    </row>
    <row r="43" spans="2:18" s="142" customFormat="1" ht="18" customHeight="1">
      <c r="B43" s="176"/>
      <c r="C43" s="261" t="s">
        <v>128</v>
      </c>
      <c r="D43" s="262"/>
      <c r="E43" s="263"/>
      <c r="F43" s="262"/>
      <c r="G43" s="264"/>
      <c r="H43" s="175"/>
    </row>
    <row r="44" spans="2:18" s="142" customFormat="1" ht="48" customHeight="1">
      <c r="B44" s="176"/>
      <c r="C44" s="438" t="s">
        <v>262</v>
      </c>
      <c r="D44" s="436"/>
      <c r="E44" s="436"/>
      <c r="F44" s="436"/>
      <c r="G44" s="437"/>
      <c r="H44" s="175"/>
    </row>
    <row r="45" spans="2:18" s="142" customFormat="1" ht="15" customHeight="1" thickBot="1">
      <c r="B45" s="271"/>
      <c r="C45" s="272"/>
      <c r="D45" s="272"/>
      <c r="E45" s="272"/>
      <c r="F45" s="272"/>
      <c r="G45" s="272"/>
      <c r="H45" s="273"/>
    </row>
    <row r="46" spans="2:18" s="357" customFormat="1" ht="14.25"/>
  </sheetData>
  <protectedRanges>
    <protectedRange sqref="D25:E28" name="Bereik1_4_3_1"/>
  </protectedRanges>
  <mergeCells count="22">
    <mergeCell ref="C44:G44"/>
    <mergeCell ref="C35:E35"/>
    <mergeCell ref="C36:E36"/>
    <mergeCell ref="C38:E38"/>
    <mergeCell ref="E42:G42"/>
    <mergeCell ref="C39:E39"/>
    <mergeCell ref="C20:F20"/>
    <mergeCell ref="C21:G21"/>
    <mergeCell ref="C32:E32"/>
    <mergeCell ref="C33:E33"/>
    <mergeCell ref="C34:E34"/>
    <mergeCell ref="D28:E28"/>
    <mergeCell ref="D12:G12"/>
    <mergeCell ref="D13:G13"/>
    <mergeCell ref="D14:G14"/>
    <mergeCell ref="D15:G15"/>
    <mergeCell ref="D16:G16"/>
    <mergeCell ref="D6:G6"/>
    <mergeCell ref="D7:G7"/>
    <mergeCell ref="D8:G8"/>
    <mergeCell ref="D10:G10"/>
    <mergeCell ref="D11:G11"/>
  </mergeCells>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50"/>
  <sheetViews>
    <sheetView workbookViewId="0"/>
  </sheetViews>
  <sheetFormatPr defaultColWidth="9.140625" defaultRowHeight="14.25"/>
  <cols>
    <col min="1" max="1" width="4.28515625" style="357" customWidth="1"/>
    <col min="2" max="2" width="3.7109375" style="357" customWidth="1"/>
    <col min="3" max="3" width="52.42578125" style="357" customWidth="1"/>
    <col min="4" max="4" width="22.140625" style="357" customWidth="1"/>
    <col min="5" max="5" width="21" style="357" customWidth="1"/>
    <col min="6" max="6" width="12.28515625" style="357" customWidth="1"/>
    <col min="7" max="7" width="22.7109375" style="357" bestFit="1" customWidth="1"/>
    <col min="8" max="8" width="3.7109375" style="357" customWidth="1"/>
    <col min="9" max="256" width="9.140625" style="357"/>
    <col min="257" max="257" width="4.28515625" style="357" customWidth="1"/>
    <col min="258" max="258" width="3.7109375" style="357" customWidth="1"/>
    <col min="259" max="259" width="42.42578125" style="357" customWidth="1"/>
    <col min="260" max="260" width="22.140625" style="357" customWidth="1"/>
    <col min="261" max="261" width="19.28515625" style="357" customWidth="1"/>
    <col min="262" max="262" width="11.140625" style="357" customWidth="1"/>
    <col min="263" max="263" width="22.7109375" style="357" bestFit="1" customWidth="1"/>
    <col min="264" max="264" width="3.7109375" style="357" customWidth="1"/>
    <col min="265" max="512" width="9.140625" style="357"/>
    <col min="513" max="513" width="4.28515625" style="357" customWidth="1"/>
    <col min="514" max="514" width="3.7109375" style="357" customWidth="1"/>
    <col min="515" max="515" width="42.42578125" style="357" customWidth="1"/>
    <col min="516" max="516" width="22.140625" style="357" customWidth="1"/>
    <col min="517" max="517" width="19.28515625" style="357" customWidth="1"/>
    <col min="518" max="518" width="11.140625" style="357" customWidth="1"/>
    <col min="519" max="519" width="22.7109375" style="357" bestFit="1" customWidth="1"/>
    <col min="520" max="520" width="3.7109375" style="357" customWidth="1"/>
    <col min="521" max="768" width="9.140625" style="357"/>
    <col min="769" max="769" width="4.28515625" style="357" customWidth="1"/>
    <col min="770" max="770" width="3.7109375" style="357" customWidth="1"/>
    <col min="771" max="771" width="42.42578125" style="357" customWidth="1"/>
    <col min="772" max="772" width="22.140625" style="357" customWidth="1"/>
    <col min="773" max="773" width="19.28515625" style="357" customWidth="1"/>
    <col min="774" max="774" width="11.140625" style="357" customWidth="1"/>
    <col min="775" max="775" width="22.7109375" style="357" bestFit="1" customWidth="1"/>
    <col min="776" max="776" width="3.7109375" style="357" customWidth="1"/>
    <col min="777" max="1024" width="9.140625" style="357"/>
    <col min="1025" max="1025" width="4.28515625" style="357" customWidth="1"/>
    <col min="1026" max="1026" width="3.7109375" style="357" customWidth="1"/>
    <col min="1027" max="1027" width="42.42578125" style="357" customWidth="1"/>
    <col min="1028" max="1028" width="22.140625" style="357" customWidth="1"/>
    <col min="1029" max="1029" width="19.28515625" style="357" customWidth="1"/>
    <col min="1030" max="1030" width="11.140625" style="357" customWidth="1"/>
    <col min="1031" max="1031" width="22.7109375" style="357" bestFit="1" customWidth="1"/>
    <col min="1032" max="1032" width="3.7109375" style="357" customWidth="1"/>
    <col min="1033" max="1280" width="9.140625" style="357"/>
    <col min="1281" max="1281" width="4.28515625" style="357" customWidth="1"/>
    <col min="1282" max="1282" width="3.7109375" style="357" customWidth="1"/>
    <col min="1283" max="1283" width="42.42578125" style="357" customWidth="1"/>
    <col min="1284" max="1284" width="22.140625" style="357" customWidth="1"/>
    <col min="1285" max="1285" width="19.28515625" style="357" customWidth="1"/>
    <col min="1286" max="1286" width="11.140625" style="357" customWidth="1"/>
    <col min="1287" max="1287" width="22.7109375" style="357" bestFit="1" customWidth="1"/>
    <col min="1288" max="1288" width="3.7109375" style="357" customWidth="1"/>
    <col min="1289" max="1536" width="9.140625" style="357"/>
    <col min="1537" max="1537" width="4.28515625" style="357" customWidth="1"/>
    <col min="1538" max="1538" width="3.7109375" style="357" customWidth="1"/>
    <col min="1539" max="1539" width="42.42578125" style="357" customWidth="1"/>
    <col min="1540" max="1540" width="22.140625" style="357" customWidth="1"/>
    <col min="1541" max="1541" width="19.28515625" style="357" customWidth="1"/>
    <col min="1542" max="1542" width="11.140625" style="357" customWidth="1"/>
    <col min="1543" max="1543" width="22.7109375" style="357" bestFit="1" customWidth="1"/>
    <col min="1544" max="1544" width="3.7109375" style="357" customWidth="1"/>
    <col min="1545" max="1792" width="9.140625" style="357"/>
    <col min="1793" max="1793" width="4.28515625" style="357" customWidth="1"/>
    <col min="1794" max="1794" width="3.7109375" style="357" customWidth="1"/>
    <col min="1795" max="1795" width="42.42578125" style="357" customWidth="1"/>
    <col min="1796" max="1796" width="22.140625" style="357" customWidth="1"/>
    <col min="1797" max="1797" width="19.28515625" style="357" customWidth="1"/>
    <col min="1798" max="1798" width="11.140625" style="357" customWidth="1"/>
    <col min="1799" max="1799" width="22.7109375" style="357" bestFit="1" customWidth="1"/>
    <col min="1800" max="1800" width="3.7109375" style="357" customWidth="1"/>
    <col min="1801" max="2048" width="9.140625" style="357"/>
    <col min="2049" max="2049" width="4.28515625" style="357" customWidth="1"/>
    <col min="2050" max="2050" width="3.7109375" style="357" customWidth="1"/>
    <col min="2051" max="2051" width="42.42578125" style="357" customWidth="1"/>
    <col min="2052" max="2052" width="22.140625" style="357" customWidth="1"/>
    <col min="2053" max="2053" width="19.28515625" style="357" customWidth="1"/>
    <col min="2054" max="2054" width="11.140625" style="357" customWidth="1"/>
    <col min="2055" max="2055" width="22.7109375" style="357" bestFit="1" customWidth="1"/>
    <col min="2056" max="2056" width="3.7109375" style="357" customWidth="1"/>
    <col min="2057" max="2304" width="9.140625" style="357"/>
    <col min="2305" max="2305" width="4.28515625" style="357" customWidth="1"/>
    <col min="2306" max="2306" width="3.7109375" style="357" customWidth="1"/>
    <col min="2307" max="2307" width="42.42578125" style="357" customWidth="1"/>
    <col min="2308" max="2308" width="22.140625" style="357" customWidth="1"/>
    <col min="2309" max="2309" width="19.28515625" style="357" customWidth="1"/>
    <col min="2310" max="2310" width="11.140625" style="357" customWidth="1"/>
    <col min="2311" max="2311" width="22.7109375" style="357" bestFit="1" customWidth="1"/>
    <col min="2312" max="2312" width="3.7109375" style="357" customWidth="1"/>
    <col min="2313" max="2560" width="9.140625" style="357"/>
    <col min="2561" max="2561" width="4.28515625" style="357" customWidth="1"/>
    <col min="2562" max="2562" width="3.7109375" style="357" customWidth="1"/>
    <col min="2563" max="2563" width="42.42578125" style="357" customWidth="1"/>
    <col min="2564" max="2564" width="22.140625" style="357" customWidth="1"/>
    <col min="2565" max="2565" width="19.28515625" style="357" customWidth="1"/>
    <col min="2566" max="2566" width="11.140625" style="357" customWidth="1"/>
    <col min="2567" max="2567" width="22.7109375" style="357" bestFit="1" customWidth="1"/>
    <col min="2568" max="2568" width="3.7109375" style="357" customWidth="1"/>
    <col min="2569" max="2816" width="9.140625" style="357"/>
    <col min="2817" max="2817" width="4.28515625" style="357" customWidth="1"/>
    <col min="2818" max="2818" width="3.7109375" style="357" customWidth="1"/>
    <col min="2819" max="2819" width="42.42578125" style="357" customWidth="1"/>
    <col min="2820" max="2820" width="22.140625" style="357" customWidth="1"/>
    <col min="2821" max="2821" width="19.28515625" style="357" customWidth="1"/>
    <col min="2822" max="2822" width="11.140625" style="357" customWidth="1"/>
    <col min="2823" max="2823" width="22.7109375" style="357" bestFit="1" customWidth="1"/>
    <col min="2824" max="2824" width="3.7109375" style="357" customWidth="1"/>
    <col min="2825" max="3072" width="9.140625" style="357"/>
    <col min="3073" max="3073" width="4.28515625" style="357" customWidth="1"/>
    <col min="3074" max="3074" width="3.7109375" style="357" customWidth="1"/>
    <col min="3075" max="3075" width="42.42578125" style="357" customWidth="1"/>
    <col min="3076" max="3076" width="22.140625" style="357" customWidth="1"/>
    <col min="3077" max="3077" width="19.28515625" style="357" customWidth="1"/>
    <col min="3078" max="3078" width="11.140625" style="357" customWidth="1"/>
    <col min="3079" max="3079" width="22.7109375" style="357" bestFit="1" customWidth="1"/>
    <col min="3080" max="3080" width="3.7109375" style="357" customWidth="1"/>
    <col min="3081" max="3328" width="9.140625" style="357"/>
    <col min="3329" max="3329" width="4.28515625" style="357" customWidth="1"/>
    <col min="3330" max="3330" width="3.7109375" style="357" customWidth="1"/>
    <col min="3331" max="3331" width="42.42578125" style="357" customWidth="1"/>
    <col min="3332" max="3332" width="22.140625" style="357" customWidth="1"/>
    <col min="3333" max="3333" width="19.28515625" style="357" customWidth="1"/>
    <col min="3334" max="3334" width="11.140625" style="357" customWidth="1"/>
    <col min="3335" max="3335" width="22.7109375" style="357" bestFit="1" customWidth="1"/>
    <col min="3336" max="3336" width="3.7109375" style="357" customWidth="1"/>
    <col min="3337" max="3584" width="9.140625" style="357"/>
    <col min="3585" max="3585" width="4.28515625" style="357" customWidth="1"/>
    <col min="3586" max="3586" width="3.7109375" style="357" customWidth="1"/>
    <col min="3587" max="3587" width="42.42578125" style="357" customWidth="1"/>
    <col min="3588" max="3588" width="22.140625" style="357" customWidth="1"/>
    <col min="3589" max="3589" width="19.28515625" style="357" customWidth="1"/>
    <col min="3590" max="3590" width="11.140625" style="357" customWidth="1"/>
    <col min="3591" max="3591" width="22.7109375" style="357" bestFit="1" customWidth="1"/>
    <col min="3592" max="3592" width="3.7109375" style="357" customWidth="1"/>
    <col min="3593" max="3840" width="9.140625" style="357"/>
    <col min="3841" max="3841" width="4.28515625" style="357" customWidth="1"/>
    <col min="3842" max="3842" width="3.7109375" style="357" customWidth="1"/>
    <col min="3843" max="3843" width="42.42578125" style="357" customWidth="1"/>
    <col min="3844" max="3844" width="22.140625" style="357" customWidth="1"/>
    <col min="3845" max="3845" width="19.28515625" style="357" customWidth="1"/>
    <col min="3846" max="3846" width="11.140625" style="357" customWidth="1"/>
    <col min="3847" max="3847" width="22.7109375" style="357" bestFit="1" customWidth="1"/>
    <col min="3848" max="3848" width="3.7109375" style="357" customWidth="1"/>
    <col min="3849" max="4096" width="9.140625" style="357"/>
    <col min="4097" max="4097" width="4.28515625" style="357" customWidth="1"/>
    <col min="4098" max="4098" width="3.7109375" style="357" customWidth="1"/>
    <col min="4099" max="4099" width="42.42578125" style="357" customWidth="1"/>
    <col min="4100" max="4100" width="22.140625" style="357" customWidth="1"/>
    <col min="4101" max="4101" width="19.28515625" style="357" customWidth="1"/>
    <col min="4102" max="4102" width="11.140625" style="357" customWidth="1"/>
    <col min="4103" max="4103" width="22.7109375" style="357" bestFit="1" customWidth="1"/>
    <col min="4104" max="4104" width="3.7109375" style="357" customWidth="1"/>
    <col min="4105" max="4352" width="9.140625" style="357"/>
    <col min="4353" max="4353" width="4.28515625" style="357" customWidth="1"/>
    <col min="4354" max="4354" width="3.7109375" style="357" customWidth="1"/>
    <col min="4355" max="4355" width="42.42578125" style="357" customWidth="1"/>
    <col min="4356" max="4356" width="22.140625" style="357" customWidth="1"/>
    <col min="4357" max="4357" width="19.28515625" style="357" customWidth="1"/>
    <col min="4358" max="4358" width="11.140625" style="357" customWidth="1"/>
    <col min="4359" max="4359" width="22.7109375" style="357" bestFit="1" customWidth="1"/>
    <col min="4360" max="4360" width="3.7109375" style="357" customWidth="1"/>
    <col min="4361" max="4608" width="9.140625" style="357"/>
    <col min="4609" max="4609" width="4.28515625" style="357" customWidth="1"/>
    <col min="4610" max="4610" width="3.7109375" style="357" customWidth="1"/>
    <col min="4611" max="4611" width="42.42578125" style="357" customWidth="1"/>
    <col min="4612" max="4612" width="22.140625" style="357" customWidth="1"/>
    <col min="4613" max="4613" width="19.28515625" style="357" customWidth="1"/>
    <col min="4614" max="4614" width="11.140625" style="357" customWidth="1"/>
    <col min="4615" max="4615" width="22.7109375" style="357" bestFit="1" customWidth="1"/>
    <col min="4616" max="4616" width="3.7109375" style="357" customWidth="1"/>
    <col min="4617" max="4864" width="9.140625" style="357"/>
    <col min="4865" max="4865" width="4.28515625" style="357" customWidth="1"/>
    <col min="4866" max="4866" width="3.7109375" style="357" customWidth="1"/>
    <col min="4867" max="4867" width="42.42578125" style="357" customWidth="1"/>
    <col min="4868" max="4868" width="22.140625" style="357" customWidth="1"/>
    <col min="4869" max="4869" width="19.28515625" style="357" customWidth="1"/>
    <col min="4870" max="4870" width="11.140625" style="357" customWidth="1"/>
    <col min="4871" max="4871" width="22.7109375" style="357" bestFit="1" customWidth="1"/>
    <col min="4872" max="4872" width="3.7109375" style="357" customWidth="1"/>
    <col min="4873" max="5120" width="9.140625" style="357"/>
    <col min="5121" max="5121" width="4.28515625" style="357" customWidth="1"/>
    <col min="5122" max="5122" width="3.7109375" style="357" customWidth="1"/>
    <col min="5123" max="5123" width="42.42578125" style="357" customWidth="1"/>
    <col min="5124" max="5124" width="22.140625" style="357" customWidth="1"/>
    <col min="5125" max="5125" width="19.28515625" style="357" customWidth="1"/>
    <col min="5126" max="5126" width="11.140625" style="357" customWidth="1"/>
    <col min="5127" max="5127" width="22.7109375" style="357" bestFit="1" customWidth="1"/>
    <col min="5128" max="5128" width="3.7109375" style="357" customWidth="1"/>
    <col min="5129" max="5376" width="9.140625" style="357"/>
    <col min="5377" max="5377" width="4.28515625" style="357" customWidth="1"/>
    <col min="5378" max="5378" width="3.7109375" style="357" customWidth="1"/>
    <col min="5379" max="5379" width="42.42578125" style="357" customWidth="1"/>
    <col min="5380" max="5380" width="22.140625" style="357" customWidth="1"/>
    <col min="5381" max="5381" width="19.28515625" style="357" customWidth="1"/>
    <col min="5382" max="5382" width="11.140625" style="357" customWidth="1"/>
    <col min="5383" max="5383" width="22.7109375" style="357" bestFit="1" customWidth="1"/>
    <col min="5384" max="5384" width="3.7109375" style="357" customWidth="1"/>
    <col min="5385" max="5632" width="9.140625" style="357"/>
    <col min="5633" max="5633" width="4.28515625" style="357" customWidth="1"/>
    <col min="5634" max="5634" width="3.7109375" style="357" customWidth="1"/>
    <col min="5635" max="5635" width="42.42578125" style="357" customWidth="1"/>
    <col min="5636" max="5636" width="22.140625" style="357" customWidth="1"/>
    <col min="5637" max="5637" width="19.28515625" style="357" customWidth="1"/>
    <col min="5638" max="5638" width="11.140625" style="357" customWidth="1"/>
    <col min="5639" max="5639" width="22.7109375" style="357" bestFit="1" customWidth="1"/>
    <col min="5640" max="5640" width="3.7109375" style="357" customWidth="1"/>
    <col min="5641" max="5888" width="9.140625" style="357"/>
    <col min="5889" max="5889" width="4.28515625" style="357" customWidth="1"/>
    <col min="5890" max="5890" width="3.7109375" style="357" customWidth="1"/>
    <col min="5891" max="5891" width="42.42578125" style="357" customWidth="1"/>
    <col min="5892" max="5892" width="22.140625" style="357" customWidth="1"/>
    <col min="5893" max="5893" width="19.28515625" style="357" customWidth="1"/>
    <col min="5894" max="5894" width="11.140625" style="357" customWidth="1"/>
    <col min="5895" max="5895" width="22.7109375" style="357" bestFit="1" customWidth="1"/>
    <col min="5896" max="5896" width="3.7109375" style="357" customWidth="1"/>
    <col min="5897" max="6144" width="9.140625" style="357"/>
    <col min="6145" max="6145" width="4.28515625" style="357" customWidth="1"/>
    <col min="6146" max="6146" width="3.7109375" style="357" customWidth="1"/>
    <col min="6147" max="6147" width="42.42578125" style="357" customWidth="1"/>
    <col min="6148" max="6148" width="22.140625" style="357" customWidth="1"/>
    <col min="6149" max="6149" width="19.28515625" style="357" customWidth="1"/>
    <col min="6150" max="6150" width="11.140625" style="357" customWidth="1"/>
    <col min="6151" max="6151" width="22.7109375" style="357" bestFit="1" customWidth="1"/>
    <col min="6152" max="6152" width="3.7109375" style="357" customWidth="1"/>
    <col min="6153" max="6400" width="9.140625" style="357"/>
    <col min="6401" max="6401" width="4.28515625" style="357" customWidth="1"/>
    <col min="6402" max="6402" width="3.7109375" style="357" customWidth="1"/>
    <col min="6403" max="6403" width="42.42578125" style="357" customWidth="1"/>
    <col min="6404" max="6404" width="22.140625" style="357" customWidth="1"/>
    <col min="6405" max="6405" width="19.28515625" style="357" customWidth="1"/>
    <col min="6406" max="6406" width="11.140625" style="357" customWidth="1"/>
    <col min="6407" max="6407" width="22.7109375" style="357" bestFit="1" customWidth="1"/>
    <col min="6408" max="6408" width="3.7109375" style="357" customWidth="1"/>
    <col min="6409" max="6656" width="9.140625" style="357"/>
    <col min="6657" max="6657" width="4.28515625" style="357" customWidth="1"/>
    <col min="6658" max="6658" width="3.7109375" style="357" customWidth="1"/>
    <col min="6659" max="6659" width="42.42578125" style="357" customWidth="1"/>
    <col min="6660" max="6660" width="22.140625" style="357" customWidth="1"/>
    <col min="6661" max="6661" width="19.28515625" style="357" customWidth="1"/>
    <col min="6662" max="6662" width="11.140625" style="357" customWidth="1"/>
    <col min="6663" max="6663" width="22.7109375" style="357" bestFit="1" customWidth="1"/>
    <col min="6664" max="6664" width="3.7109375" style="357" customWidth="1"/>
    <col min="6665" max="6912" width="9.140625" style="357"/>
    <col min="6913" max="6913" width="4.28515625" style="357" customWidth="1"/>
    <col min="6914" max="6914" width="3.7109375" style="357" customWidth="1"/>
    <col min="6915" max="6915" width="42.42578125" style="357" customWidth="1"/>
    <col min="6916" max="6916" width="22.140625" style="357" customWidth="1"/>
    <col min="6917" max="6917" width="19.28515625" style="357" customWidth="1"/>
    <col min="6918" max="6918" width="11.140625" style="357" customWidth="1"/>
    <col min="6919" max="6919" width="22.7109375" style="357" bestFit="1" customWidth="1"/>
    <col min="6920" max="6920" width="3.7109375" style="357" customWidth="1"/>
    <col min="6921" max="7168" width="9.140625" style="357"/>
    <col min="7169" max="7169" width="4.28515625" style="357" customWidth="1"/>
    <col min="7170" max="7170" width="3.7109375" style="357" customWidth="1"/>
    <col min="7171" max="7171" width="42.42578125" style="357" customWidth="1"/>
    <col min="7172" max="7172" width="22.140625" style="357" customWidth="1"/>
    <col min="7173" max="7173" width="19.28515625" style="357" customWidth="1"/>
    <col min="7174" max="7174" width="11.140625" style="357" customWidth="1"/>
    <col min="7175" max="7175" width="22.7109375" style="357" bestFit="1" customWidth="1"/>
    <col min="7176" max="7176" width="3.7109375" style="357" customWidth="1"/>
    <col min="7177" max="7424" width="9.140625" style="357"/>
    <col min="7425" max="7425" width="4.28515625" style="357" customWidth="1"/>
    <col min="7426" max="7426" width="3.7109375" style="357" customWidth="1"/>
    <col min="7427" max="7427" width="42.42578125" style="357" customWidth="1"/>
    <col min="7428" max="7428" width="22.140625" style="357" customWidth="1"/>
    <col min="7429" max="7429" width="19.28515625" style="357" customWidth="1"/>
    <col min="7430" max="7430" width="11.140625" style="357" customWidth="1"/>
    <col min="7431" max="7431" width="22.7109375" style="357" bestFit="1" customWidth="1"/>
    <col min="7432" max="7432" width="3.7109375" style="357" customWidth="1"/>
    <col min="7433" max="7680" width="9.140625" style="357"/>
    <col min="7681" max="7681" width="4.28515625" style="357" customWidth="1"/>
    <col min="7682" max="7682" width="3.7109375" style="357" customWidth="1"/>
    <col min="7683" max="7683" width="42.42578125" style="357" customWidth="1"/>
    <col min="7684" max="7684" width="22.140625" style="357" customWidth="1"/>
    <col min="7685" max="7685" width="19.28515625" style="357" customWidth="1"/>
    <col min="7686" max="7686" width="11.140625" style="357" customWidth="1"/>
    <col min="7687" max="7687" width="22.7109375" style="357" bestFit="1" customWidth="1"/>
    <col min="7688" max="7688" width="3.7109375" style="357" customWidth="1"/>
    <col min="7689" max="7936" width="9.140625" style="357"/>
    <col min="7937" max="7937" width="4.28515625" style="357" customWidth="1"/>
    <col min="7938" max="7938" width="3.7109375" style="357" customWidth="1"/>
    <col min="7939" max="7939" width="42.42578125" style="357" customWidth="1"/>
    <col min="7940" max="7940" width="22.140625" style="357" customWidth="1"/>
    <col min="7941" max="7941" width="19.28515625" style="357" customWidth="1"/>
    <col min="7942" max="7942" width="11.140625" style="357" customWidth="1"/>
    <col min="7943" max="7943" width="22.7109375" style="357" bestFit="1" customWidth="1"/>
    <col min="7944" max="7944" width="3.7109375" style="357" customWidth="1"/>
    <col min="7945" max="8192" width="9.140625" style="357"/>
    <col min="8193" max="8193" width="4.28515625" style="357" customWidth="1"/>
    <col min="8194" max="8194" width="3.7109375" style="357" customWidth="1"/>
    <col min="8195" max="8195" width="42.42578125" style="357" customWidth="1"/>
    <col min="8196" max="8196" width="22.140625" style="357" customWidth="1"/>
    <col min="8197" max="8197" width="19.28515625" style="357" customWidth="1"/>
    <col min="8198" max="8198" width="11.140625" style="357" customWidth="1"/>
    <col min="8199" max="8199" width="22.7109375" style="357" bestFit="1" customWidth="1"/>
    <col min="8200" max="8200" width="3.7109375" style="357" customWidth="1"/>
    <col min="8201" max="8448" width="9.140625" style="357"/>
    <col min="8449" max="8449" width="4.28515625" style="357" customWidth="1"/>
    <col min="8450" max="8450" width="3.7109375" style="357" customWidth="1"/>
    <col min="8451" max="8451" width="42.42578125" style="357" customWidth="1"/>
    <col min="8452" max="8452" width="22.140625" style="357" customWidth="1"/>
    <col min="8453" max="8453" width="19.28515625" style="357" customWidth="1"/>
    <col min="8454" max="8454" width="11.140625" style="357" customWidth="1"/>
    <col min="8455" max="8455" width="22.7109375" style="357" bestFit="1" customWidth="1"/>
    <col min="8456" max="8456" width="3.7109375" style="357" customWidth="1"/>
    <col min="8457" max="8704" width="9.140625" style="357"/>
    <col min="8705" max="8705" width="4.28515625" style="357" customWidth="1"/>
    <col min="8706" max="8706" width="3.7109375" style="357" customWidth="1"/>
    <col min="8707" max="8707" width="42.42578125" style="357" customWidth="1"/>
    <col min="8708" max="8708" width="22.140625" style="357" customWidth="1"/>
    <col min="8709" max="8709" width="19.28515625" style="357" customWidth="1"/>
    <col min="8710" max="8710" width="11.140625" style="357" customWidth="1"/>
    <col min="8711" max="8711" width="22.7109375" style="357" bestFit="1" customWidth="1"/>
    <col min="8712" max="8712" width="3.7109375" style="357" customWidth="1"/>
    <col min="8713" max="8960" width="9.140625" style="357"/>
    <col min="8961" max="8961" width="4.28515625" style="357" customWidth="1"/>
    <col min="8962" max="8962" width="3.7109375" style="357" customWidth="1"/>
    <col min="8963" max="8963" width="42.42578125" style="357" customWidth="1"/>
    <col min="8964" max="8964" width="22.140625" style="357" customWidth="1"/>
    <col min="8965" max="8965" width="19.28515625" style="357" customWidth="1"/>
    <col min="8966" max="8966" width="11.140625" style="357" customWidth="1"/>
    <col min="8967" max="8967" width="22.7109375" style="357" bestFit="1" customWidth="1"/>
    <col min="8968" max="8968" width="3.7109375" style="357" customWidth="1"/>
    <col min="8969" max="9216" width="9.140625" style="357"/>
    <col min="9217" max="9217" width="4.28515625" style="357" customWidth="1"/>
    <col min="9218" max="9218" width="3.7109375" style="357" customWidth="1"/>
    <col min="9219" max="9219" width="42.42578125" style="357" customWidth="1"/>
    <col min="9220" max="9220" width="22.140625" style="357" customWidth="1"/>
    <col min="9221" max="9221" width="19.28515625" style="357" customWidth="1"/>
    <col min="9222" max="9222" width="11.140625" style="357" customWidth="1"/>
    <col min="9223" max="9223" width="22.7109375" style="357" bestFit="1" customWidth="1"/>
    <col min="9224" max="9224" width="3.7109375" style="357" customWidth="1"/>
    <col min="9225" max="9472" width="9.140625" style="357"/>
    <col min="9473" max="9473" width="4.28515625" style="357" customWidth="1"/>
    <col min="9474" max="9474" width="3.7109375" style="357" customWidth="1"/>
    <col min="9475" max="9475" width="42.42578125" style="357" customWidth="1"/>
    <col min="9476" max="9476" width="22.140625" style="357" customWidth="1"/>
    <col min="9477" max="9477" width="19.28515625" style="357" customWidth="1"/>
    <col min="9478" max="9478" width="11.140625" style="357" customWidth="1"/>
    <col min="9479" max="9479" width="22.7109375" style="357" bestFit="1" customWidth="1"/>
    <col min="9480" max="9480" width="3.7109375" style="357" customWidth="1"/>
    <col min="9481" max="9728" width="9.140625" style="357"/>
    <col min="9729" max="9729" width="4.28515625" style="357" customWidth="1"/>
    <col min="9730" max="9730" width="3.7109375" style="357" customWidth="1"/>
    <col min="9731" max="9731" width="42.42578125" style="357" customWidth="1"/>
    <col min="9732" max="9732" width="22.140625" style="357" customWidth="1"/>
    <col min="9733" max="9733" width="19.28515625" style="357" customWidth="1"/>
    <col min="9734" max="9734" width="11.140625" style="357" customWidth="1"/>
    <col min="9735" max="9735" width="22.7109375" style="357" bestFit="1" customWidth="1"/>
    <col min="9736" max="9736" width="3.7109375" style="357" customWidth="1"/>
    <col min="9737" max="9984" width="9.140625" style="357"/>
    <col min="9985" max="9985" width="4.28515625" style="357" customWidth="1"/>
    <col min="9986" max="9986" width="3.7109375" style="357" customWidth="1"/>
    <col min="9987" max="9987" width="42.42578125" style="357" customWidth="1"/>
    <col min="9988" max="9988" width="22.140625" style="357" customWidth="1"/>
    <col min="9989" max="9989" width="19.28515625" style="357" customWidth="1"/>
    <col min="9990" max="9990" width="11.140625" style="357" customWidth="1"/>
    <col min="9991" max="9991" width="22.7109375" style="357" bestFit="1" customWidth="1"/>
    <col min="9992" max="9992" width="3.7109375" style="357" customWidth="1"/>
    <col min="9993" max="10240" width="9.140625" style="357"/>
    <col min="10241" max="10241" width="4.28515625" style="357" customWidth="1"/>
    <col min="10242" max="10242" width="3.7109375" style="357" customWidth="1"/>
    <col min="10243" max="10243" width="42.42578125" style="357" customWidth="1"/>
    <col min="10244" max="10244" width="22.140625" style="357" customWidth="1"/>
    <col min="10245" max="10245" width="19.28515625" style="357" customWidth="1"/>
    <col min="10246" max="10246" width="11.140625" style="357" customWidth="1"/>
    <col min="10247" max="10247" width="22.7109375" style="357" bestFit="1" customWidth="1"/>
    <col min="10248" max="10248" width="3.7109375" style="357" customWidth="1"/>
    <col min="10249" max="10496" width="9.140625" style="357"/>
    <col min="10497" max="10497" width="4.28515625" style="357" customWidth="1"/>
    <col min="10498" max="10498" width="3.7109375" style="357" customWidth="1"/>
    <col min="10499" max="10499" width="42.42578125" style="357" customWidth="1"/>
    <col min="10500" max="10500" width="22.140625" style="357" customWidth="1"/>
    <col min="10501" max="10501" width="19.28515625" style="357" customWidth="1"/>
    <col min="10502" max="10502" width="11.140625" style="357" customWidth="1"/>
    <col min="10503" max="10503" width="22.7109375" style="357" bestFit="1" customWidth="1"/>
    <col min="10504" max="10504" width="3.7109375" style="357" customWidth="1"/>
    <col min="10505" max="10752" width="9.140625" style="357"/>
    <col min="10753" max="10753" width="4.28515625" style="357" customWidth="1"/>
    <col min="10754" max="10754" width="3.7109375" style="357" customWidth="1"/>
    <col min="10755" max="10755" width="42.42578125" style="357" customWidth="1"/>
    <col min="10756" max="10756" width="22.140625" style="357" customWidth="1"/>
    <col min="10757" max="10757" width="19.28515625" style="357" customWidth="1"/>
    <col min="10758" max="10758" width="11.140625" style="357" customWidth="1"/>
    <col min="10759" max="10759" width="22.7109375" style="357" bestFit="1" customWidth="1"/>
    <col min="10760" max="10760" width="3.7109375" style="357" customWidth="1"/>
    <col min="10761" max="11008" width="9.140625" style="357"/>
    <col min="11009" max="11009" width="4.28515625" style="357" customWidth="1"/>
    <col min="11010" max="11010" width="3.7109375" style="357" customWidth="1"/>
    <col min="11011" max="11011" width="42.42578125" style="357" customWidth="1"/>
    <col min="11012" max="11012" width="22.140625" style="357" customWidth="1"/>
    <col min="11013" max="11013" width="19.28515625" style="357" customWidth="1"/>
    <col min="11014" max="11014" width="11.140625" style="357" customWidth="1"/>
    <col min="11015" max="11015" width="22.7109375" style="357" bestFit="1" customWidth="1"/>
    <col min="11016" max="11016" width="3.7109375" style="357" customWidth="1"/>
    <col min="11017" max="11264" width="9.140625" style="357"/>
    <col min="11265" max="11265" width="4.28515625" style="357" customWidth="1"/>
    <col min="11266" max="11266" width="3.7109375" style="357" customWidth="1"/>
    <col min="11267" max="11267" width="42.42578125" style="357" customWidth="1"/>
    <col min="11268" max="11268" width="22.140625" style="357" customWidth="1"/>
    <col min="11269" max="11269" width="19.28515625" style="357" customWidth="1"/>
    <col min="11270" max="11270" width="11.140625" style="357" customWidth="1"/>
    <col min="11271" max="11271" width="22.7109375" style="357" bestFit="1" customWidth="1"/>
    <col min="11272" max="11272" width="3.7109375" style="357" customWidth="1"/>
    <col min="11273" max="11520" width="9.140625" style="357"/>
    <col min="11521" max="11521" width="4.28515625" style="357" customWidth="1"/>
    <col min="11522" max="11522" width="3.7109375" style="357" customWidth="1"/>
    <col min="11523" max="11523" width="42.42578125" style="357" customWidth="1"/>
    <col min="11524" max="11524" width="22.140625" style="357" customWidth="1"/>
    <col min="11525" max="11525" width="19.28515625" style="357" customWidth="1"/>
    <col min="11526" max="11526" width="11.140625" style="357" customWidth="1"/>
    <col min="11527" max="11527" width="22.7109375" style="357" bestFit="1" customWidth="1"/>
    <col min="11528" max="11528" width="3.7109375" style="357" customWidth="1"/>
    <col min="11529" max="11776" width="9.140625" style="357"/>
    <col min="11777" max="11777" width="4.28515625" style="357" customWidth="1"/>
    <col min="11778" max="11778" width="3.7109375" style="357" customWidth="1"/>
    <col min="11779" max="11779" width="42.42578125" style="357" customWidth="1"/>
    <col min="11780" max="11780" width="22.140625" style="357" customWidth="1"/>
    <col min="11781" max="11781" width="19.28515625" style="357" customWidth="1"/>
    <col min="11782" max="11782" width="11.140625" style="357" customWidth="1"/>
    <col min="11783" max="11783" width="22.7109375" style="357" bestFit="1" customWidth="1"/>
    <col min="11784" max="11784" width="3.7109375" style="357" customWidth="1"/>
    <col min="11785" max="12032" width="9.140625" style="357"/>
    <col min="12033" max="12033" width="4.28515625" style="357" customWidth="1"/>
    <col min="12034" max="12034" width="3.7109375" style="357" customWidth="1"/>
    <col min="12035" max="12035" width="42.42578125" style="357" customWidth="1"/>
    <col min="12036" max="12036" width="22.140625" style="357" customWidth="1"/>
    <col min="12037" max="12037" width="19.28515625" style="357" customWidth="1"/>
    <col min="12038" max="12038" width="11.140625" style="357" customWidth="1"/>
    <col min="12039" max="12039" width="22.7109375" style="357" bestFit="1" customWidth="1"/>
    <col min="12040" max="12040" width="3.7109375" style="357" customWidth="1"/>
    <col min="12041" max="12288" width="9.140625" style="357"/>
    <col min="12289" max="12289" width="4.28515625" style="357" customWidth="1"/>
    <col min="12290" max="12290" width="3.7109375" style="357" customWidth="1"/>
    <col min="12291" max="12291" width="42.42578125" style="357" customWidth="1"/>
    <col min="12292" max="12292" width="22.140625" style="357" customWidth="1"/>
    <col min="12293" max="12293" width="19.28515625" style="357" customWidth="1"/>
    <col min="12294" max="12294" width="11.140625" style="357" customWidth="1"/>
    <col min="12295" max="12295" width="22.7109375" style="357" bestFit="1" customWidth="1"/>
    <col min="12296" max="12296" width="3.7109375" style="357" customWidth="1"/>
    <col min="12297" max="12544" width="9.140625" style="357"/>
    <col min="12545" max="12545" width="4.28515625" style="357" customWidth="1"/>
    <col min="12546" max="12546" width="3.7109375" style="357" customWidth="1"/>
    <col min="12547" max="12547" width="42.42578125" style="357" customWidth="1"/>
    <col min="12548" max="12548" width="22.140625" style="357" customWidth="1"/>
    <col min="12549" max="12549" width="19.28515625" style="357" customWidth="1"/>
    <col min="12550" max="12550" width="11.140625" style="357" customWidth="1"/>
    <col min="12551" max="12551" width="22.7109375" style="357" bestFit="1" customWidth="1"/>
    <col min="12552" max="12552" width="3.7109375" style="357" customWidth="1"/>
    <col min="12553" max="12800" width="9.140625" style="357"/>
    <col min="12801" max="12801" width="4.28515625" style="357" customWidth="1"/>
    <col min="12802" max="12802" width="3.7109375" style="357" customWidth="1"/>
    <col min="12803" max="12803" width="42.42578125" style="357" customWidth="1"/>
    <col min="12804" max="12804" width="22.140625" style="357" customWidth="1"/>
    <col min="12805" max="12805" width="19.28515625" style="357" customWidth="1"/>
    <col min="12806" max="12806" width="11.140625" style="357" customWidth="1"/>
    <col min="12807" max="12807" width="22.7109375" style="357" bestFit="1" customWidth="1"/>
    <col min="12808" max="12808" width="3.7109375" style="357" customWidth="1"/>
    <col min="12809" max="13056" width="9.140625" style="357"/>
    <col min="13057" max="13057" width="4.28515625" style="357" customWidth="1"/>
    <col min="13058" max="13058" width="3.7109375" style="357" customWidth="1"/>
    <col min="13059" max="13059" width="42.42578125" style="357" customWidth="1"/>
    <col min="13060" max="13060" width="22.140625" style="357" customWidth="1"/>
    <col min="13061" max="13061" width="19.28515625" style="357" customWidth="1"/>
    <col min="13062" max="13062" width="11.140625" style="357" customWidth="1"/>
    <col min="13063" max="13063" width="22.7109375" style="357" bestFit="1" customWidth="1"/>
    <col min="13064" max="13064" width="3.7109375" style="357" customWidth="1"/>
    <col min="13065" max="13312" width="9.140625" style="357"/>
    <col min="13313" max="13313" width="4.28515625" style="357" customWidth="1"/>
    <col min="13314" max="13314" width="3.7109375" style="357" customWidth="1"/>
    <col min="13315" max="13315" width="42.42578125" style="357" customWidth="1"/>
    <col min="13316" max="13316" width="22.140625" style="357" customWidth="1"/>
    <col min="13317" max="13317" width="19.28515625" style="357" customWidth="1"/>
    <col min="13318" max="13318" width="11.140625" style="357" customWidth="1"/>
    <col min="13319" max="13319" width="22.7109375" style="357" bestFit="1" customWidth="1"/>
    <col min="13320" max="13320" width="3.7109375" style="357" customWidth="1"/>
    <col min="13321" max="13568" width="9.140625" style="357"/>
    <col min="13569" max="13569" width="4.28515625" style="357" customWidth="1"/>
    <col min="13570" max="13570" width="3.7109375" style="357" customWidth="1"/>
    <col min="13571" max="13571" width="42.42578125" style="357" customWidth="1"/>
    <col min="13572" max="13572" width="22.140625" style="357" customWidth="1"/>
    <col min="13573" max="13573" width="19.28515625" style="357" customWidth="1"/>
    <col min="13574" max="13574" width="11.140625" style="357" customWidth="1"/>
    <col min="13575" max="13575" width="22.7109375" style="357" bestFit="1" customWidth="1"/>
    <col min="13576" max="13576" width="3.7109375" style="357" customWidth="1"/>
    <col min="13577" max="13824" width="9.140625" style="357"/>
    <col min="13825" max="13825" width="4.28515625" style="357" customWidth="1"/>
    <col min="13826" max="13826" width="3.7109375" style="357" customWidth="1"/>
    <col min="13827" max="13827" width="42.42578125" style="357" customWidth="1"/>
    <col min="13828" max="13828" width="22.140625" style="357" customWidth="1"/>
    <col min="13829" max="13829" width="19.28515625" style="357" customWidth="1"/>
    <col min="13830" max="13830" width="11.140625" style="357" customWidth="1"/>
    <col min="13831" max="13831" width="22.7109375" style="357" bestFit="1" customWidth="1"/>
    <col min="13832" max="13832" width="3.7109375" style="357" customWidth="1"/>
    <col min="13833" max="14080" width="9.140625" style="357"/>
    <col min="14081" max="14081" width="4.28515625" style="357" customWidth="1"/>
    <col min="14082" max="14082" width="3.7109375" style="357" customWidth="1"/>
    <col min="14083" max="14083" width="42.42578125" style="357" customWidth="1"/>
    <col min="14084" max="14084" width="22.140625" style="357" customWidth="1"/>
    <col min="14085" max="14085" width="19.28515625" style="357" customWidth="1"/>
    <col min="14086" max="14086" width="11.140625" style="357" customWidth="1"/>
    <col min="14087" max="14087" width="22.7109375" style="357" bestFit="1" customWidth="1"/>
    <col min="14088" max="14088" width="3.7109375" style="357" customWidth="1"/>
    <col min="14089" max="14336" width="9.140625" style="357"/>
    <col min="14337" max="14337" width="4.28515625" style="357" customWidth="1"/>
    <col min="14338" max="14338" width="3.7109375" style="357" customWidth="1"/>
    <col min="14339" max="14339" width="42.42578125" style="357" customWidth="1"/>
    <col min="14340" max="14340" width="22.140625" style="357" customWidth="1"/>
    <col min="14341" max="14341" width="19.28515625" style="357" customWidth="1"/>
    <col min="14342" max="14342" width="11.140625" style="357" customWidth="1"/>
    <col min="14343" max="14343" width="22.7109375" style="357" bestFit="1" customWidth="1"/>
    <col min="14344" max="14344" width="3.7109375" style="357" customWidth="1"/>
    <col min="14345" max="14592" width="9.140625" style="357"/>
    <col min="14593" max="14593" width="4.28515625" style="357" customWidth="1"/>
    <col min="14594" max="14594" width="3.7109375" style="357" customWidth="1"/>
    <col min="14595" max="14595" width="42.42578125" style="357" customWidth="1"/>
    <col min="14596" max="14596" width="22.140625" style="357" customWidth="1"/>
    <col min="14597" max="14597" width="19.28515625" style="357" customWidth="1"/>
    <col min="14598" max="14598" width="11.140625" style="357" customWidth="1"/>
    <col min="14599" max="14599" width="22.7109375" style="357" bestFit="1" customWidth="1"/>
    <col min="14600" max="14600" width="3.7109375" style="357" customWidth="1"/>
    <col min="14601" max="14848" width="9.140625" style="357"/>
    <col min="14849" max="14849" width="4.28515625" style="357" customWidth="1"/>
    <col min="14850" max="14850" width="3.7109375" style="357" customWidth="1"/>
    <col min="14851" max="14851" width="42.42578125" style="357" customWidth="1"/>
    <col min="14852" max="14852" width="22.140625" style="357" customWidth="1"/>
    <col min="14853" max="14853" width="19.28515625" style="357" customWidth="1"/>
    <col min="14854" max="14854" width="11.140625" style="357" customWidth="1"/>
    <col min="14855" max="14855" width="22.7109375" style="357" bestFit="1" customWidth="1"/>
    <col min="14856" max="14856" width="3.7109375" style="357" customWidth="1"/>
    <col min="14857" max="15104" width="9.140625" style="357"/>
    <col min="15105" max="15105" width="4.28515625" style="357" customWidth="1"/>
    <col min="15106" max="15106" width="3.7109375" style="357" customWidth="1"/>
    <col min="15107" max="15107" width="42.42578125" style="357" customWidth="1"/>
    <col min="15108" max="15108" width="22.140625" style="357" customWidth="1"/>
    <col min="15109" max="15109" width="19.28515625" style="357" customWidth="1"/>
    <col min="15110" max="15110" width="11.140625" style="357" customWidth="1"/>
    <col min="15111" max="15111" width="22.7109375" style="357" bestFit="1" customWidth="1"/>
    <col min="15112" max="15112" width="3.7109375" style="357" customWidth="1"/>
    <col min="15113" max="15360" width="9.140625" style="357"/>
    <col min="15361" max="15361" width="4.28515625" style="357" customWidth="1"/>
    <col min="15362" max="15362" width="3.7109375" style="357" customWidth="1"/>
    <col min="15363" max="15363" width="42.42578125" style="357" customWidth="1"/>
    <col min="15364" max="15364" width="22.140625" style="357" customWidth="1"/>
    <col min="15365" max="15365" width="19.28515625" style="357" customWidth="1"/>
    <col min="15366" max="15366" width="11.140625" style="357" customWidth="1"/>
    <col min="15367" max="15367" width="22.7109375" style="357" bestFit="1" customWidth="1"/>
    <col min="15368" max="15368" width="3.7109375" style="357" customWidth="1"/>
    <col min="15369" max="15616" width="9.140625" style="357"/>
    <col min="15617" max="15617" width="4.28515625" style="357" customWidth="1"/>
    <col min="15618" max="15618" width="3.7109375" style="357" customWidth="1"/>
    <col min="15619" max="15619" width="42.42578125" style="357" customWidth="1"/>
    <col min="15620" max="15620" width="22.140625" style="357" customWidth="1"/>
    <col min="15621" max="15621" width="19.28515625" style="357" customWidth="1"/>
    <col min="15622" max="15622" width="11.140625" style="357" customWidth="1"/>
    <col min="15623" max="15623" width="22.7109375" style="357" bestFit="1" customWidth="1"/>
    <col min="15624" max="15624" width="3.7109375" style="357" customWidth="1"/>
    <col min="15625" max="15872" width="9.140625" style="357"/>
    <col min="15873" max="15873" width="4.28515625" style="357" customWidth="1"/>
    <col min="15874" max="15874" width="3.7109375" style="357" customWidth="1"/>
    <col min="15875" max="15875" width="42.42578125" style="357" customWidth="1"/>
    <col min="15876" max="15876" width="22.140625" style="357" customWidth="1"/>
    <col min="15877" max="15877" width="19.28515625" style="357" customWidth="1"/>
    <col min="15878" max="15878" width="11.140625" style="357" customWidth="1"/>
    <col min="15879" max="15879" width="22.7109375" style="357" bestFit="1" customWidth="1"/>
    <col min="15880" max="15880" width="3.7109375" style="357" customWidth="1"/>
    <col min="15881" max="16128" width="9.140625" style="357"/>
    <col min="16129" max="16129" width="4.28515625" style="357" customWidth="1"/>
    <col min="16130" max="16130" width="3.7109375" style="357" customWidth="1"/>
    <col min="16131" max="16131" width="42.42578125" style="357" customWidth="1"/>
    <col min="16132" max="16132" width="22.140625" style="357" customWidth="1"/>
    <col min="16133" max="16133" width="19.28515625" style="357" customWidth="1"/>
    <col min="16134" max="16134" width="11.140625" style="357" customWidth="1"/>
    <col min="16135" max="16135" width="22.7109375" style="357" bestFit="1" customWidth="1"/>
    <col min="16136" max="16136" width="3.7109375" style="357" customWidth="1"/>
    <col min="16137" max="16384" width="9.140625" style="357"/>
  </cols>
  <sheetData>
    <row r="1" spans="1:11" s="297" customFormat="1" ht="12.75"/>
    <row r="2" spans="1:11" s="142" customFormat="1" ht="15">
      <c r="B2" s="415" t="s">
        <v>425</v>
      </c>
      <c r="C2" s="416"/>
      <c r="D2" s="416"/>
      <c r="E2" s="416"/>
      <c r="F2" s="416"/>
      <c r="G2" s="416"/>
      <c r="H2" s="417"/>
    </row>
    <row r="3" spans="1:11" s="297" customFormat="1" ht="15.75" thickBot="1">
      <c r="A3" s="142"/>
      <c r="B3" s="142"/>
      <c r="C3" s="142"/>
      <c r="D3" s="142"/>
      <c r="E3" s="142"/>
      <c r="F3" s="142"/>
      <c r="G3" s="142"/>
      <c r="H3" s="142"/>
      <c r="I3" s="142"/>
    </row>
    <row r="4" spans="1:11" s="297" customFormat="1" ht="15">
      <c r="A4" s="142"/>
      <c r="B4" s="143"/>
      <c r="C4" s="144"/>
      <c r="D4" s="144"/>
      <c r="E4" s="145"/>
      <c r="F4" s="145"/>
      <c r="G4" s="145"/>
      <c r="H4" s="146"/>
      <c r="I4" s="142"/>
    </row>
    <row r="5" spans="1:11" s="297" customFormat="1" ht="15">
      <c r="A5" s="142"/>
      <c r="B5" s="147"/>
      <c r="C5" s="148" t="s">
        <v>125</v>
      </c>
      <c r="D5" s="149"/>
      <c r="E5" s="150"/>
      <c r="F5" s="149"/>
      <c r="G5" s="149"/>
      <c r="H5" s="151"/>
      <c r="I5" s="142"/>
    </row>
    <row r="6" spans="1:11" s="297" customFormat="1" ht="15">
      <c r="A6" s="142"/>
      <c r="B6" s="147"/>
      <c r="C6" s="153" t="s">
        <v>109</v>
      </c>
      <c r="D6" s="519" t="s">
        <v>207</v>
      </c>
      <c r="E6" s="520"/>
      <c r="F6" s="520"/>
      <c r="G6" s="521"/>
      <c r="H6" s="151"/>
      <c r="I6" s="142"/>
    </row>
    <row r="7" spans="1:11" s="297" customFormat="1" ht="15" customHeight="1">
      <c r="A7" s="142"/>
      <c r="B7" s="147"/>
      <c r="C7" s="154" t="s">
        <v>110</v>
      </c>
      <c r="D7" s="428" t="s">
        <v>111</v>
      </c>
      <c r="E7" s="428"/>
      <c r="F7" s="428"/>
      <c r="G7" s="428"/>
      <c r="H7" s="151"/>
      <c r="I7" s="142"/>
    </row>
    <row r="8" spans="1:11" s="297" customFormat="1" ht="14.25" customHeight="1">
      <c r="A8" s="142"/>
      <c r="B8" s="147"/>
      <c r="C8" s="154" t="s">
        <v>112</v>
      </c>
      <c r="D8" s="429" t="s">
        <v>181</v>
      </c>
      <c r="E8" s="425"/>
      <c r="F8" s="425"/>
      <c r="G8" s="426"/>
      <c r="H8" s="151"/>
      <c r="I8" s="142"/>
    </row>
    <row r="9" spans="1:11" s="297" customFormat="1" ht="14.25" customHeight="1">
      <c r="A9" s="142"/>
      <c r="B9" s="147"/>
      <c r="C9" s="154" t="s">
        <v>120</v>
      </c>
      <c r="D9" s="156" t="s">
        <v>208</v>
      </c>
      <c r="E9" s="157"/>
      <c r="F9" s="157"/>
      <c r="G9" s="158"/>
      <c r="H9" s="151"/>
      <c r="I9" s="142"/>
    </row>
    <row r="10" spans="1:11" s="297" customFormat="1" ht="17.25" customHeight="1">
      <c r="A10" s="142"/>
      <c r="B10" s="147"/>
      <c r="C10" s="154" t="s">
        <v>385</v>
      </c>
      <c r="D10" s="430">
        <v>2018</v>
      </c>
      <c r="E10" s="431"/>
      <c r="F10" s="431"/>
      <c r="G10" s="432"/>
      <c r="H10" s="151"/>
      <c r="I10" s="142"/>
    </row>
    <row r="11" spans="1:11" s="297" customFormat="1" ht="15">
      <c r="A11" s="142"/>
      <c r="B11" s="147"/>
      <c r="C11" s="154" t="s">
        <v>113</v>
      </c>
      <c r="D11" s="423">
        <v>0.5</v>
      </c>
      <c r="E11" s="423"/>
      <c r="F11" s="423"/>
      <c r="G11" s="423"/>
      <c r="H11" s="151"/>
      <c r="I11" s="142"/>
    </row>
    <row r="12" spans="1:11" s="297" customFormat="1" ht="14.25" customHeight="1">
      <c r="A12" s="142"/>
      <c r="B12" s="147"/>
      <c r="C12" s="154" t="s">
        <v>114</v>
      </c>
      <c r="D12" s="423">
        <v>1</v>
      </c>
      <c r="E12" s="423"/>
      <c r="F12" s="423"/>
      <c r="G12" s="423"/>
      <c r="H12" s="151"/>
      <c r="I12" s="142"/>
    </row>
    <row r="13" spans="1:11" s="297" customFormat="1" ht="15" customHeight="1">
      <c r="A13" s="142"/>
      <c r="B13" s="147"/>
      <c r="C13" s="418" t="s">
        <v>117</v>
      </c>
      <c r="D13" s="530">
        <f>F46</f>
        <v>1.3561392111368913</v>
      </c>
      <c r="E13" s="531"/>
      <c r="F13" s="531"/>
      <c r="G13" s="532"/>
      <c r="H13" s="151"/>
      <c r="I13" s="142"/>
    </row>
    <row r="14" spans="1:11" s="297" customFormat="1" ht="15" customHeight="1">
      <c r="A14" s="142"/>
      <c r="B14" s="147"/>
      <c r="C14" s="418" t="s">
        <v>218</v>
      </c>
      <c r="D14" s="530">
        <f>D11*D13</f>
        <v>0.67806960556844564</v>
      </c>
      <c r="E14" s="531"/>
      <c r="F14" s="531"/>
      <c r="G14" s="532"/>
      <c r="H14" s="151"/>
      <c r="I14" s="142"/>
      <c r="K14" s="336"/>
    </row>
    <row r="15" spans="1:11" s="297" customFormat="1" ht="17.25" customHeight="1">
      <c r="A15" s="142"/>
      <c r="B15" s="147"/>
      <c r="C15" s="418" t="s">
        <v>384</v>
      </c>
      <c r="D15" s="530">
        <f>(IF(D10&lt;2017,4,2021-D10))*D13</f>
        <v>4.0684176334106734</v>
      </c>
      <c r="E15" s="531"/>
      <c r="F15" s="531"/>
      <c r="G15" s="532"/>
      <c r="H15" s="151"/>
      <c r="I15" s="142"/>
    </row>
    <row r="16" spans="1:11" s="297" customFormat="1" ht="14.25" customHeight="1">
      <c r="A16" s="142"/>
      <c r="B16" s="147"/>
      <c r="C16" s="418" t="s">
        <v>219</v>
      </c>
      <c r="D16" s="530">
        <f>D15*D11</f>
        <v>2.0342088167053367</v>
      </c>
      <c r="E16" s="531"/>
      <c r="F16" s="531"/>
      <c r="G16" s="532"/>
      <c r="H16" s="151"/>
      <c r="I16" s="142"/>
    </row>
    <row r="17" spans="1:17" s="297" customFormat="1" ht="14.25" customHeight="1" thickBot="1">
      <c r="A17" s="142"/>
      <c r="B17" s="160"/>
      <c r="C17" s="161"/>
      <c r="D17" s="162"/>
      <c r="E17" s="163"/>
      <c r="F17" s="163"/>
      <c r="G17" s="163"/>
      <c r="H17" s="164"/>
      <c r="I17" s="142"/>
    </row>
    <row r="18" spans="1:17" s="142" customFormat="1" ht="15.75" thickBot="1">
      <c r="A18" s="152"/>
      <c r="B18" s="155"/>
      <c r="C18" s="165"/>
      <c r="D18" s="166"/>
      <c r="E18" s="167"/>
      <c r="F18" s="167"/>
      <c r="G18" s="167"/>
      <c r="H18" s="165"/>
      <c r="I18" s="152"/>
      <c r="J18" s="152"/>
      <c r="K18" s="152"/>
      <c r="L18" s="152"/>
      <c r="M18" s="152"/>
      <c r="N18" s="152"/>
      <c r="O18" s="152"/>
      <c r="P18" s="152"/>
      <c r="Q18" s="152"/>
    </row>
    <row r="19" spans="1:17" s="142" customFormat="1" ht="16.5">
      <c r="B19" s="168"/>
      <c r="C19" s="169"/>
      <c r="D19" s="169"/>
      <c r="E19" s="170"/>
      <c r="F19" s="171"/>
      <c r="G19" s="171"/>
      <c r="H19" s="172"/>
    </row>
    <row r="20" spans="1:17" s="142" customFormat="1" ht="54.75" customHeight="1">
      <c r="B20" s="173"/>
      <c r="C20" s="464" t="s">
        <v>209</v>
      </c>
      <c r="D20" s="464"/>
      <c r="E20" s="464"/>
      <c r="F20" s="464"/>
      <c r="G20" s="174"/>
      <c r="H20" s="175"/>
    </row>
    <row r="21" spans="1:17" s="142" customFormat="1" ht="129" customHeight="1">
      <c r="B21" s="173"/>
      <c r="C21" s="465" t="s">
        <v>431</v>
      </c>
      <c r="D21" s="465"/>
      <c r="E21" s="465"/>
      <c r="F21" s="465"/>
      <c r="G21" s="465"/>
      <c r="H21" s="175"/>
    </row>
    <row r="22" spans="1:17" s="142" customFormat="1" ht="16.5">
      <c r="B22" s="176"/>
      <c r="C22" s="177"/>
      <c r="D22" s="178"/>
      <c r="E22" s="179"/>
      <c r="F22" s="179"/>
      <c r="G22" s="179"/>
      <c r="H22" s="151"/>
      <c r="J22" s="152"/>
      <c r="K22" s="152"/>
      <c r="L22" s="152"/>
      <c r="M22" s="152"/>
      <c r="N22" s="152"/>
      <c r="O22" s="152"/>
      <c r="P22" s="152"/>
      <c r="Q22" s="152"/>
    </row>
    <row r="23" spans="1:17" s="142" customFormat="1" ht="21.75" customHeight="1" thickBot="1">
      <c r="B23" s="173"/>
      <c r="C23" s="180" t="s">
        <v>121</v>
      </c>
      <c r="D23" s="181"/>
      <c r="E23" s="181"/>
      <c r="F23" s="181"/>
      <c r="G23" s="181"/>
      <c r="H23" s="175"/>
    </row>
    <row r="24" spans="1:17" s="142" customFormat="1" ht="27.75" customHeight="1">
      <c r="B24" s="176"/>
      <c r="C24" s="369"/>
      <c r="D24" s="370" t="s">
        <v>118</v>
      </c>
      <c r="E24" s="370" t="s">
        <v>267</v>
      </c>
      <c r="F24" s="371" t="s">
        <v>0</v>
      </c>
      <c r="G24" s="372" t="s">
        <v>3</v>
      </c>
      <c r="H24" s="175"/>
    </row>
    <row r="25" spans="1:17" s="142" customFormat="1" ht="30" customHeight="1">
      <c r="B25" s="176"/>
      <c r="C25" s="373" t="s">
        <v>211</v>
      </c>
      <c r="D25" s="276" t="s">
        <v>397</v>
      </c>
      <c r="E25" s="276" t="s">
        <v>397</v>
      </c>
      <c r="F25" s="359"/>
      <c r="G25" s="374" t="s">
        <v>220</v>
      </c>
      <c r="H25" s="175"/>
    </row>
    <row r="26" spans="1:17" s="142" customFormat="1" ht="30" customHeight="1">
      <c r="B26" s="176"/>
      <c r="C26" s="404" t="s">
        <v>413</v>
      </c>
      <c r="D26" s="405">
        <f>(VLOOKUP(D25,'GER-waarden'!B103:D107,2,FALSE))</f>
        <v>28</v>
      </c>
      <c r="E26" s="405">
        <f>(VLOOKUP(E25,'GER-waarden'!B103:D107,2,FALSE))</f>
        <v>28</v>
      </c>
      <c r="F26" s="406" t="s">
        <v>412</v>
      </c>
      <c r="G26" s="407" t="s">
        <v>409</v>
      </c>
      <c r="H26" s="175"/>
    </row>
    <row r="27" spans="1:17" s="142" customFormat="1" ht="30" customHeight="1">
      <c r="B27" s="176"/>
      <c r="C27" s="375" t="s">
        <v>201</v>
      </c>
      <c r="D27" s="276">
        <v>1000</v>
      </c>
      <c r="E27" s="366">
        <v>1000</v>
      </c>
      <c r="F27" s="353" t="s">
        <v>52</v>
      </c>
      <c r="G27" s="408" t="s">
        <v>220</v>
      </c>
      <c r="H27" s="175"/>
    </row>
    <row r="28" spans="1:17" s="142" customFormat="1" ht="30" customHeight="1">
      <c r="B28" s="176"/>
      <c r="C28" s="375" t="s">
        <v>197</v>
      </c>
      <c r="D28" s="368">
        <v>200</v>
      </c>
      <c r="E28" s="367">
        <v>200</v>
      </c>
      <c r="F28" s="365" t="s">
        <v>200</v>
      </c>
      <c r="G28" s="408" t="s">
        <v>220</v>
      </c>
      <c r="H28" s="175"/>
    </row>
    <row r="29" spans="1:17" s="142" customFormat="1" ht="30" customHeight="1">
      <c r="B29" s="176"/>
      <c r="C29" s="376" t="s">
        <v>386</v>
      </c>
      <c r="D29" s="364">
        <v>0.5</v>
      </c>
      <c r="E29" s="364">
        <v>0.8</v>
      </c>
      <c r="F29" s="359" t="s">
        <v>166</v>
      </c>
      <c r="G29" s="408" t="s">
        <v>220</v>
      </c>
      <c r="H29" s="175"/>
    </row>
    <row r="30" spans="1:17" s="142" customFormat="1" ht="30">
      <c r="B30" s="176"/>
      <c r="C30" s="404" t="s">
        <v>414</v>
      </c>
      <c r="D30" s="409">
        <f>D29*D26</f>
        <v>14</v>
      </c>
      <c r="E30" s="410">
        <f>E29*E26</f>
        <v>22.400000000000002</v>
      </c>
      <c r="F30" s="406" t="s">
        <v>412</v>
      </c>
      <c r="G30" s="407" t="s">
        <v>409</v>
      </c>
      <c r="H30" s="175"/>
    </row>
    <row r="31" spans="1:17" s="142" customFormat="1" ht="16.5">
      <c r="B31" s="176"/>
      <c r="C31" s="379" t="s">
        <v>388</v>
      </c>
      <c r="D31" s="411">
        <f>D27/(D26*D29)</f>
        <v>71.428571428571431</v>
      </c>
      <c r="E31" s="411">
        <f>E27/(E26*E29)</f>
        <v>44.642857142857139</v>
      </c>
      <c r="F31" s="359"/>
      <c r="G31" s="408"/>
      <c r="H31" s="175"/>
    </row>
    <row r="32" spans="1:17" s="142" customFormat="1" ht="16.5">
      <c r="B32" s="176"/>
      <c r="C32" s="379" t="s">
        <v>390</v>
      </c>
      <c r="D32" s="412">
        <f>ROUNDUP(D31,0)</f>
        <v>72</v>
      </c>
      <c r="E32" s="412">
        <f>ROUNDUP(E31,0)</f>
        <v>45</v>
      </c>
      <c r="F32" s="359"/>
      <c r="G32" s="408"/>
      <c r="H32" s="175"/>
      <c r="J32" s="384"/>
    </row>
    <row r="33" spans="2:18" s="142" customFormat="1" ht="30" customHeight="1" thickBot="1">
      <c r="B33" s="176"/>
      <c r="C33" s="380" t="s">
        <v>391</v>
      </c>
      <c r="D33" s="413">
        <f>((VLOOKUP(D25,'GER-waarden'!B87:D91,2,FALSE)))+(D29*100*((VLOOKUP(D25,'GER-waarden'!B95:D99,2,FALSE))))</f>
        <v>0.30836426914153131</v>
      </c>
      <c r="E33" s="413">
        <f>((VLOOKUP(E25,'GER-waarden'!B87:D91,2,FALSE)))+(E29*100*((VLOOKUP(E25,'GER-waarden'!B95:D99,2,FALSE))))</f>
        <v>0.34270069605568443</v>
      </c>
      <c r="F33" s="377" t="s">
        <v>392</v>
      </c>
      <c r="G33" s="378" t="s">
        <v>409</v>
      </c>
      <c r="H33" s="175"/>
      <c r="I33" s="396"/>
    </row>
    <row r="34" spans="2:18" s="142" customFormat="1" ht="17.25" customHeight="1">
      <c r="B34" s="176"/>
      <c r="C34" s="212"/>
      <c r="D34" s="234"/>
      <c r="E34" s="234"/>
      <c r="F34" s="234"/>
      <c r="G34" s="214"/>
      <c r="H34" s="175"/>
      <c r="I34" s="384"/>
    </row>
    <row r="35" spans="2:18" s="142" customFormat="1" ht="17.25" customHeight="1" thickBot="1">
      <c r="B35" s="176"/>
      <c r="C35" s="235" t="s">
        <v>75</v>
      </c>
      <c r="D35" s="234"/>
      <c r="E35" s="234"/>
      <c r="F35" s="234"/>
      <c r="G35" s="214"/>
      <c r="H35" s="175"/>
    </row>
    <row r="36" spans="2:18" s="142" customFormat="1" ht="16.5">
      <c r="B36" s="176"/>
      <c r="C36" s="236" t="s">
        <v>415</v>
      </c>
      <c r="D36" s="237"/>
      <c r="E36" s="237"/>
      <c r="F36" s="238"/>
      <c r="G36" s="239"/>
      <c r="H36" s="175"/>
    </row>
    <row r="37" spans="2:18" s="142" customFormat="1" ht="35.450000000000003" customHeight="1">
      <c r="B37" s="176"/>
      <c r="C37" s="515" t="s">
        <v>403</v>
      </c>
      <c r="D37" s="516"/>
      <c r="E37" s="516"/>
      <c r="F37" s="251">
        <f>D28*D32*D33</f>
        <v>4440.445475638051</v>
      </c>
      <c r="G37" s="311" t="s">
        <v>401</v>
      </c>
      <c r="H37" s="175"/>
    </row>
    <row r="38" spans="2:18" s="142" customFormat="1" ht="33.6" customHeight="1" thickBot="1">
      <c r="B38" s="176"/>
      <c r="C38" s="489" t="s">
        <v>405</v>
      </c>
      <c r="D38" s="490"/>
      <c r="E38" s="490"/>
      <c r="F38" s="330">
        <f>F37/D27</f>
        <v>4.4404454756380511</v>
      </c>
      <c r="G38" s="315" t="s">
        <v>402</v>
      </c>
      <c r="H38" s="175"/>
    </row>
    <row r="39" spans="2:18" s="142" customFormat="1" ht="16.5">
      <c r="B39" s="176"/>
      <c r="C39" s="445" t="s">
        <v>416</v>
      </c>
      <c r="D39" s="446"/>
      <c r="E39" s="446"/>
      <c r="F39" s="245"/>
      <c r="G39" s="246"/>
      <c r="H39" s="175"/>
      <c r="R39" s="204"/>
    </row>
    <row r="40" spans="2:18" s="142" customFormat="1" ht="35.450000000000003" customHeight="1">
      <c r="B40" s="176"/>
      <c r="C40" s="515" t="s">
        <v>404</v>
      </c>
      <c r="D40" s="516"/>
      <c r="E40" s="516"/>
      <c r="F40" s="308">
        <f>E28*E32*E33</f>
        <v>3084.3062645011601</v>
      </c>
      <c r="G40" s="311" t="s">
        <v>401</v>
      </c>
      <c r="H40" s="175"/>
    </row>
    <row r="41" spans="2:18" s="142" customFormat="1" ht="40.15" customHeight="1" thickBot="1">
      <c r="B41" s="176"/>
      <c r="C41" s="489" t="s">
        <v>405</v>
      </c>
      <c r="D41" s="490"/>
      <c r="E41" s="490"/>
      <c r="F41" s="326">
        <f>F40/E27</f>
        <v>3.0843062645011599</v>
      </c>
      <c r="G41" s="315" t="s">
        <v>402</v>
      </c>
      <c r="H41" s="318"/>
    </row>
    <row r="42" spans="2:18" s="142" customFormat="1" ht="16.5">
      <c r="B42" s="176"/>
      <c r="C42" s="249" t="s">
        <v>417</v>
      </c>
      <c r="D42" s="250"/>
      <c r="E42" s="250"/>
      <c r="F42" s="251"/>
      <c r="G42" s="252"/>
      <c r="H42" s="175"/>
    </row>
    <row r="43" spans="2:18" s="142" customFormat="1" ht="29.45" customHeight="1">
      <c r="B43" s="176"/>
      <c r="C43" s="533" t="s">
        <v>407</v>
      </c>
      <c r="D43" s="486"/>
      <c r="E43" s="486"/>
      <c r="F43" s="327">
        <f>F38-F41</f>
        <v>1.3561392111368913</v>
      </c>
      <c r="G43" s="360" t="s">
        <v>402</v>
      </c>
      <c r="H43" s="175"/>
      <c r="J43" s="152"/>
    </row>
    <row r="44" spans="2:18" s="142" customFormat="1" ht="32.25" customHeight="1" thickBot="1">
      <c r="B44" s="176"/>
      <c r="C44" s="447" t="s">
        <v>406</v>
      </c>
      <c r="D44" s="448"/>
      <c r="E44" s="294"/>
      <c r="F44" s="361">
        <f>F43*E27</f>
        <v>1356.1392111368914</v>
      </c>
      <c r="G44" s="254" t="s">
        <v>401</v>
      </c>
      <c r="H44" s="175"/>
    </row>
    <row r="45" spans="2:18" s="142" customFormat="1" ht="17.25" thickBot="1">
      <c r="B45" s="176"/>
      <c r="C45" s="212"/>
      <c r="D45" s="214"/>
      <c r="E45" s="214"/>
      <c r="F45" s="255"/>
      <c r="G45" s="214"/>
      <c r="H45" s="175"/>
    </row>
    <row r="46" spans="2:18" s="142" customFormat="1" ht="18" customHeight="1" thickBot="1">
      <c r="B46" s="176"/>
      <c r="C46" s="256" t="s">
        <v>259</v>
      </c>
      <c r="D46" s="214"/>
      <c r="E46" s="257"/>
      <c r="F46" s="414">
        <f>F44/1000</f>
        <v>1.3561392111368913</v>
      </c>
      <c r="G46" s="259" t="s">
        <v>424</v>
      </c>
      <c r="H46" s="175"/>
    </row>
    <row r="47" spans="2:18" s="142" customFormat="1" ht="16.5">
      <c r="B47" s="176"/>
      <c r="C47" s="212"/>
      <c r="D47" s="260"/>
      <c r="E47" s="449"/>
      <c r="F47" s="450"/>
      <c r="G47" s="450"/>
      <c r="H47" s="175"/>
    </row>
    <row r="48" spans="2:18" s="142" customFormat="1" ht="18" customHeight="1">
      <c r="B48" s="176"/>
      <c r="C48" s="261" t="s">
        <v>128</v>
      </c>
      <c r="D48" s="262"/>
      <c r="E48" s="263"/>
      <c r="F48" s="262"/>
      <c r="G48" s="264"/>
      <c r="H48" s="175"/>
    </row>
    <row r="49" spans="2:8" s="142" customFormat="1" ht="64.5" customHeight="1">
      <c r="B49" s="176"/>
      <c r="C49" s="438" t="s">
        <v>263</v>
      </c>
      <c r="D49" s="436"/>
      <c r="E49" s="436"/>
      <c r="F49" s="436"/>
      <c r="G49" s="437"/>
      <c r="H49" s="175"/>
    </row>
    <row r="50" spans="2:8" s="142" customFormat="1" ht="15" customHeight="1" thickBot="1">
      <c r="B50" s="271"/>
      <c r="C50" s="272"/>
      <c r="D50" s="272"/>
      <c r="E50" s="272"/>
      <c r="F50" s="272"/>
      <c r="G50" s="272"/>
      <c r="H50" s="273"/>
    </row>
  </sheetData>
  <protectedRanges>
    <protectedRange sqref="D25:E32" name="Bereik1_4_3_1"/>
  </protectedRanges>
  <mergeCells count="21">
    <mergeCell ref="C41:E41"/>
    <mergeCell ref="C43:E43"/>
    <mergeCell ref="C44:D44"/>
    <mergeCell ref="E47:G47"/>
    <mergeCell ref="C49:G49"/>
    <mergeCell ref="D6:G6"/>
    <mergeCell ref="D7:G7"/>
    <mergeCell ref="D8:G8"/>
    <mergeCell ref="D10:G10"/>
    <mergeCell ref="D11:G11"/>
    <mergeCell ref="D12:G12"/>
    <mergeCell ref="D13:G13"/>
    <mergeCell ref="D14:G14"/>
    <mergeCell ref="D15:G15"/>
    <mergeCell ref="D16:G16"/>
    <mergeCell ref="C40:E40"/>
    <mergeCell ref="C20:F20"/>
    <mergeCell ref="C21:G21"/>
    <mergeCell ref="C37:E37"/>
    <mergeCell ref="C38:E38"/>
    <mergeCell ref="C39:E39"/>
  </mergeCells>
  <pageMargins left="0.70866141732283472" right="0.70866141732283472" top="0.74803149606299213" bottom="0.74803149606299213" header="0.31496062992125984" footer="0.31496062992125984"/>
  <pageSetup paperSize="9" scale="64"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14:formula1>
            <xm:f>'GER-waarden'!$B$194:$B$198</xm:f>
          </x14:formula1>
          <xm:sqref>D25:E25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rgb="FF00B0F0"/>
    <pageSetUpPr fitToPage="1"/>
  </sheetPr>
  <dimension ref="A1:V239"/>
  <sheetViews>
    <sheetView zoomScaleNormal="100" workbookViewId="0"/>
  </sheetViews>
  <sheetFormatPr defaultColWidth="9.140625" defaultRowHeight="15"/>
  <cols>
    <col min="1" max="1" width="3.7109375" style="53" customWidth="1"/>
    <col min="2" max="2" width="34" style="53" customWidth="1"/>
    <col min="3" max="3" width="22.42578125" style="53" customWidth="1"/>
    <col min="4" max="4" width="19.7109375" style="53" customWidth="1"/>
    <col min="5" max="5" width="21.5703125" style="53" customWidth="1"/>
    <col min="6" max="6" width="19.7109375" style="53" customWidth="1"/>
    <col min="7" max="14" width="10.42578125" style="53" bestFit="1" customWidth="1"/>
    <col min="15" max="15" width="9.28515625" style="53" bestFit="1" customWidth="1"/>
    <col min="16" max="16384" width="9.140625" style="53"/>
  </cols>
  <sheetData>
    <row r="1" spans="2:10">
      <c r="B1" s="56"/>
      <c r="C1" s="56"/>
      <c r="D1" s="56"/>
      <c r="E1" s="56"/>
      <c r="F1" s="56"/>
    </row>
    <row r="2" spans="2:10" ht="30.75" customHeight="1">
      <c r="B2" s="556" t="s">
        <v>56</v>
      </c>
      <c r="C2" s="557"/>
      <c r="D2" s="557"/>
      <c r="E2" s="557"/>
      <c r="F2" s="558"/>
    </row>
    <row r="3" spans="2:10" ht="38.25" customHeight="1">
      <c r="B3" s="559" t="s">
        <v>253</v>
      </c>
      <c r="C3" s="560"/>
      <c r="D3" s="560"/>
      <c r="E3" s="560"/>
      <c r="F3" s="561"/>
    </row>
    <row r="4" spans="2:10" ht="15.75" thickBot="1">
      <c r="B4" s="99"/>
    </row>
    <row r="5" spans="2:10" s="57" customFormat="1" ht="17.25" thickBot="1">
      <c r="B5" s="113" t="s">
        <v>57</v>
      </c>
      <c r="C5" s="114"/>
      <c r="D5" s="114"/>
      <c r="E5" s="564"/>
      <c r="F5" s="564"/>
      <c r="G5" s="564"/>
      <c r="H5" s="565"/>
    </row>
    <row r="6" spans="2:10" ht="45">
      <c r="B6" s="61" t="s">
        <v>243</v>
      </c>
      <c r="C6" s="65" t="s">
        <v>252</v>
      </c>
      <c r="D6" s="65" t="s">
        <v>254</v>
      </c>
      <c r="E6" s="66" t="s">
        <v>3</v>
      </c>
      <c r="F6" s="562"/>
      <c r="G6" s="562"/>
      <c r="H6" s="563"/>
    </row>
    <row r="7" spans="2:10" ht="15" customHeight="1">
      <c r="B7" s="63" t="s">
        <v>11</v>
      </c>
      <c r="C7" s="60">
        <v>75.099999999999994</v>
      </c>
      <c r="D7" s="121">
        <v>2</v>
      </c>
      <c r="E7" s="537" t="s">
        <v>242</v>
      </c>
      <c r="F7" s="537"/>
      <c r="G7" s="537"/>
      <c r="H7" s="538"/>
    </row>
    <row r="8" spans="2:10">
      <c r="B8" s="63" t="s">
        <v>14</v>
      </c>
      <c r="C8" s="60">
        <v>89.6</v>
      </c>
      <c r="D8" s="122">
        <v>3.5</v>
      </c>
      <c r="E8" s="537"/>
      <c r="F8" s="537"/>
      <c r="G8" s="537"/>
      <c r="H8" s="538"/>
    </row>
    <row r="9" spans="2:10">
      <c r="B9" s="63" t="s">
        <v>15</v>
      </c>
      <c r="C9" s="60">
        <v>87.9</v>
      </c>
      <c r="D9" s="122">
        <v>3.6</v>
      </c>
      <c r="E9" s="537"/>
      <c r="F9" s="537"/>
      <c r="G9" s="537"/>
      <c r="H9" s="538"/>
      <c r="J9" s="52"/>
    </row>
    <row r="10" spans="2:10">
      <c r="B10" s="63" t="s">
        <v>86</v>
      </c>
      <c r="C10" s="60">
        <v>77.599999999999994</v>
      </c>
      <c r="D10" s="122">
        <v>2.9</v>
      </c>
      <c r="E10" s="537"/>
      <c r="F10" s="537"/>
      <c r="G10" s="537"/>
      <c r="H10" s="538"/>
    </row>
    <row r="11" spans="2:10">
      <c r="B11" s="63" t="s">
        <v>87</v>
      </c>
      <c r="C11" s="60">
        <v>81.8</v>
      </c>
      <c r="D11" s="122">
        <v>3.2</v>
      </c>
      <c r="E11" s="537"/>
      <c r="F11" s="537"/>
      <c r="G11" s="537"/>
      <c r="H11" s="538"/>
    </row>
    <row r="12" spans="2:10">
      <c r="B12" s="63" t="s">
        <v>17</v>
      </c>
      <c r="C12" s="60">
        <v>77.3</v>
      </c>
      <c r="D12" s="122">
        <v>2</v>
      </c>
      <c r="E12" s="537"/>
      <c r="F12" s="537"/>
      <c r="G12" s="537"/>
      <c r="H12" s="538"/>
    </row>
    <row r="13" spans="2:10">
      <c r="B13" s="63" t="s">
        <v>18</v>
      </c>
      <c r="C13" s="60">
        <v>79.5</v>
      </c>
      <c r="D13" s="122">
        <v>2.1</v>
      </c>
      <c r="E13" s="537"/>
      <c r="F13" s="537"/>
      <c r="G13" s="537"/>
      <c r="H13" s="538"/>
    </row>
    <row r="14" spans="2:10">
      <c r="B14" s="63" t="s">
        <v>19</v>
      </c>
      <c r="C14" s="60">
        <v>59.4</v>
      </c>
      <c r="D14" s="122">
        <v>1.9</v>
      </c>
      <c r="E14" s="537"/>
      <c r="F14" s="537"/>
      <c r="G14" s="537"/>
      <c r="H14" s="538"/>
    </row>
    <row r="15" spans="2:10">
      <c r="B15" s="63" t="s">
        <v>25</v>
      </c>
      <c r="C15" s="60">
        <v>137.19999999999999</v>
      </c>
      <c r="D15" s="122">
        <v>8.1</v>
      </c>
      <c r="E15" s="537"/>
      <c r="F15" s="537"/>
      <c r="G15" s="537"/>
      <c r="H15" s="538"/>
    </row>
    <row r="16" spans="2:10">
      <c r="B16" s="63" t="s">
        <v>13</v>
      </c>
      <c r="C16" s="60">
        <v>99</v>
      </c>
      <c r="D16" s="122">
        <v>4.5999999999999996</v>
      </c>
      <c r="E16" s="537"/>
      <c r="F16" s="537"/>
      <c r="G16" s="537"/>
      <c r="H16" s="538"/>
    </row>
    <row r="17" spans="2:22">
      <c r="B17" s="63" t="s">
        <v>20</v>
      </c>
      <c r="C17" s="60">
        <v>107.5</v>
      </c>
      <c r="D17" s="122">
        <v>8</v>
      </c>
      <c r="E17" s="537"/>
      <c r="F17" s="537"/>
      <c r="G17" s="537"/>
      <c r="H17" s="538"/>
    </row>
    <row r="18" spans="2:22">
      <c r="B18" s="63" t="s">
        <v>66</v>
      </c>
      <c r="C18" s="60">
        <v>75</v>
      </c>
      <c r="D18" s="122">
        <v>2.6</v>
      </c>
      <c r="E18" s="537"/>
      <c r="F18" s="537"/>
      <c r="G18" s="537"/>
      <c r="H18" s="538"/>
    </row>
    <row r="19" spans="2:22">
      <c r="B19" s="63" t="s">
        <v>67</v>
      </c>
      <c r="C19" s="60">
        <v>100.1</v>
      </c>
      <c r="D19" s="122">
        <v>4.3</v>
      </c>
      <c r="E19" s="537"/>
      <c r="F19" s="537"/>
      <c r="G19" s="537"/>
      <c r="H19" s="538"/>
    </row>
    <row r="20" spans="2:22" ht="15.75" thickBot="1">
      <c r="B20" s="64" t="s">
        <v>93</v>
      </c>
      <c r="C20" s="67">
        <v>30.9</v>
      </c>
      <c r="D20" s="123">
        <v>2.2999999999999998</v>
      </c>
      <c r="E20" s="539"/>
      <c r="F20" s="539"/>
      <c r="G20" s="539"/>
      <c r="H20" s="540"/>
    </row>
    <row r="21" spans="2:22">
      <c r="B21" s="89" t="s">
        <v>62</v>
      </c>
      <c r="C21" s="124">
        <v>76.099999999999994</v>
      </c>
      <c r="D21" s="125">
        <v>3.5</v>
      </c>
      <c r="E21" s="566" t="s">
        <v>244</v>
      </c>
      <c r="F21" s="566"/>
      <c r="G21" s="566"/>
      <c r="H21" s="567"/>
    </row>
    <row r="22" spans="2:22">
      <c r="B22" s="92" t="s">
        <v>65</v>
      </c>
      <c r="C22" s="126">
        <v>92.8</v>
      </c>
      <c r="D22" s="100">
        <v>2.9</v>
      </c>
      <c r="E22" s="541" t="s">
        <v>245</v>
      </c>
      <c r="F22" s="541"/>
      <c r="G22" s="541"/>
      <c r="H22" s="542"/>
    </row>
    <row r="23" spans="2:22">
      <c r="B23" s="92" t="s">
        <v>63</v>
      </c>
      <c r="C23" s="126">
        <v>88.5</v>
      </c>
      <c r="D23" s="100">
        <v>2.7</v>
      </c>
      <c r="E23" s="541" t="s">
        <v>246</v>
      </c>
      <c r="F23" s="541"/>
      <c r="G23" s="541"/>
      <c r="H23" s="542"/>
    </row>
    <row r="24" spans="2:22" ht="30.6" customHeight="1">
      <c r="B24" s="92" t="s">
        <v>64</v>
      </c>
      <c r="C24" s="126">
        <v>63.3</v>
      </c>
      <c r="D24" s="100">
        <v>2.2000000000000002</v>
      </c>
      <c r="E24" s="543" t="s">
        <v>250</v>
      </c>
      <c r="F24" s="544"/>
      <c r="G24" s="544"/>
      <c r="H24" s="545"/>
    </row>
    <row r="25" spans="2:22">
      <c r="B25" s="129" t="s">
        <v>98</v>
      </c>
      <c r="C25" s="128">
        <v>217</v>
      </c>
      <c r="D25" s="127">
        <v>30.3</v>
      </c>
      <c r="E25" s="541" t="s">
        <v>247</v>
      </c>
      <c r="F25" s="541"/>
      <c r="G25" s="541"/>
      <c r="H25" s="542"/>
      <c r="R25" s="94"/>
      <c r="V25" s="94"/>
    </row>
    <row r="26" spans="2:22" ht="15.75" thickBot="1">
      <c r="B26" s="108"/>
      <c r="C26" s="130"/>
      <c r="D26" s="52"/>
      <c r="E26" s="52"/>
      <c r="F26" s="52"/>
      <c r="G26" s="52"/>
    </row>
    <row r="27" spans="2:22" ht="17.25" thickBot="1">
      <c r="B27" s="113" t="s">
        <v>95</v>
      </c>
      <c r="C27" s="114"/>
      <c r="D27" s="115"/>
    </row>
    <row r="28" spans="2:22" ht="45">
      <c r="B28" s="68" t="s">
        <v>88</v>
      </c>
      <c r="C28" s="61" t="s">
        <v>96</v>
      </c>
      <c r="D28" s="72" t="s">
        <v>97</v>
      </c>
      <c r="E28" s="116"/>
    </row>
    <row r="29" spans="2:22">
      <c r="B29" s="69" t="s">
        <v>14</v>
      </c>
      <c r="C29" s="62">
        <v>12.5</v>
      </c>
      <c r="D29" s="118">
        <v>21.333333333333332</v>
      </c>
      <c r="E29" s="116"/>
    </row>
    <row r="30" spans="2:22">
      <c r="B30" s="69" t="s">
        <v>17</v>
      </c>
      <c r="C30" s="62">
        <v>13.433333333333332</v>
      </c>
      <c r="D30" s="117">
        <v>19.25</v>
      </c>
    </row>
    <row r="31" spans="2:22">
      <c r="B31" s="69" t="s">
        <v>18</v>
      </c>
      <c r="C31" s="62">
        <v>13.433333333333332</v>
      </c>
      <c r="D31" s="118">
        <v>19.25</v>
      </c>
      <c r="E31" s="116"/>
    </row>
    <row r="32" spans="2:22">
      <c r="B32" s="69" t="s">
        <v>16</v>
      </c>
      <c r="C32" s="62">
        <v>12.5</v>
      </c>
      <c r="D32" s="118">
        <v>19.25</v>
      </c>
      <c r="E32" s="116"/>
    </row>
    <row r="33" spans="2:6">
      <c r="B33" s="69" t="s">
        <v>11</v>
      </c>
      <c r="C33" s="62">
        <v>13.433333333333332</v>
      </c>
      <c r="D33" s="118">
        <v>19.25</v>
      </c>
      <c r="E33" s="116"/>
    </row>
    <row r="34" spans="2:6">
      <c r="B34" s="69" t="s">
        <v>15</v>
      </c>
      <c r="C34" s="62">
        <v>12.5</v>
      </c>
      <c r="D34" s="118">
        <v>19.25</v>
      </c>
      <c r="E34" s="116"/>
    </row>
    <row r="35" spans="2:6" ht="15.75" thickBot="1">
      <c r="B35" s="70" t="s">
        <v>19</v>
      </c>
      <c r="C35" s="111">
        <v>12.5</v>
      </c>
      <c r="D35" s="119">
        <v>21.333333333333332</v>
      </c>
      <c r="E35" s="116"/>
    </row>
    <row r="36" spans="2:6">
      <c r="B36" s="59" t="s">
        <v>142</v>
      </c>
      <c r="C36" s="58"/>
      <c r="D36" s="58"/>
      <c r="E36" s="52"/>
      <c r="F36" s="52"/>
    </row>
    <row r="37" spans="2:6" ht="15.75" thickBot="1">
      <c r="B37" s="59"/>
      <c r="C37" s="58"/>
      <c r="D37" s="58"/>
      <c r="E37" s="52"/>
      <c r="F37" s="52"/>
    </row>
    <row r="38" spans="2:6" ht="45">
      <c r="B38" s="72" t="s">
        <v>85</v>
      </c>
      <c r="C38" s="71" t="s">
        <v>96</v>
      </c>
      <c r="D38" s="108"/>
      <c r="E38" s="52"/>
      <c r="F38" s="52"/>
    </row>
    <row r="39" spans="2:6">
      <c r="B39" s="63" t="s">
        <v>14</v>
      </c>
      <c r="C39" s="110">
        <f>-(C8*0.9)+C29</f>
        <v>-68.14</v>
      </c>
      <c r="D39" s="108"/>
      <c r="E39" s="52"/>
      <c r="F39" s="52"/>
    </row>
    <row r="40" spans="2:6">
      <c r="B40" s="63" t="s">
        <v>17</v>
      </c>
      <c r="C40" s="110">
        <f>-C12*0.9+C30</f>
        <v>-56.136666666666663</v>
      </c>
      <c r="D40" s="108"/>
      <c r="E40" s="52"/>
      <c r="F40" s="52"/>
    </row>
    <row r="41" spans="2:6">
      <c r="B41" s="63" t="s">
        <v>18</v>
      </c>
      <c r="C41" s="110">
        <f>-C13*0.9+C31</f>
        <v>-58.116666666666667</v>
      </c>
      <c r="D41" s="108"/>
      <c r="E41" s="52"/>
      <c r="F41" s="52"/>
    </row>
    <row r="42" spans="2:6">
      <c r="B42" s="63" t="s">
        <v>16</v>
      </c>
      <c r="C42" s="110">
        <f>-((C10+C11)/2)*0.9+C32</f>
        <v>-59.22999999999999</v>
      </c>
      <c r="D42" s="108"/>
      <c r="E42" s="52"/>
      <c r="F42" s="52"/>
    </row>
    <row r="43" spans="2:6">
      <c r="B43" s="63" t="s">
        <v>11</v>
      </c>
      <c r="C43" s="110">
        <f>-C7*0.9+C33</f>
        <v>-54.156666666666673</v>
      </c>
      <c r="D43" s="108"/>
      <c r="E43" s="52"/>
      <c r="F43" s="52"/>
    </row>
    <row r="44" spans="2:6">
      <c r="B44" s="63" t="s">
        <v>15</v>
      </c>
      <c r="C44" s="110">
        <f>-C9*0.9+C34</f>
        <v>-66.610000000000014</v>
      </c>
      <c r="D44" s="108"/>
      <c r="E44" s="52"/>
      <c r="F44" s="52"/>
    </row>
    <row r="45" spans="2:6" ht="15.75" thickBot="1">
      <c r="B45" s="64" t="s">
        <v>19</v>
      </c>
      <c r="C45" s="112">
        <f>-C14*0.9+C35</f>
        <v>-40.96</v>
      </c>
      <c r="D45" s="108"/>
      <c r="E45" s="52"/>
      <c r="F45" s="52"/>
    </row>
    <row r="46" spans="2:6">
      <c r="B46" s="120" t="s">
        <v>143</v>
      </c>
      <c r="C46" s="58"/>
      <c r="D46" s="52"/>
      <c r="E46" s="52"/>
      <c r="F46" s="52"/>
    </row>
    <row r="47" spans="2:6" ht="15.75" thickBot="1"/>
    <row r="48" spans="2:6" ht="17.25" thickBot="1">
      <c r="B48" s="548" t="s">
        <v>94</v>
      </c>
      <c r="C48" s="549"/>
      <c r="D48" s="549"/>
      <c r="E48" s="549"/>
      <c r="F48" s="550"/>
    </row>
    <row r="49" spans="2:9">
      <c r="B49" s="82" t="s">
        <v>58</v>
      </c>
      <c r="C49" s="83" t="s">
        <v>26</v>
      </c>
      <c r="D49" s="84" t="s">
        <v>0</v>
      </c>
      <c r="E49" s="546" t="s">
        <v>3</v>
      </c>
      <c r="F49" s="547"/>
    </row>
    <row r="50" spans="2:9">
      <c r="B50" s="62" t="s">
        <v>92</v>
      </c>
      <c r="C50" s="362">
        <v>8.35</v>
      </c>
      <c r="D50" s="85" t="s">
        <v>59</v>
      </c>
      <c r="E50" s="535" t="s">
        <v>215</v>
      </c>
      <c r="F50" s="536"/>
    </row>
    <row r="51" spans="2:9">
      <c r="B51" s="62" t="s">
        <v>264</v>
      </c>
      <c r="C51" s="362">
        <v>3.53</v>
      </c>
      <c r="D51" s="85" t="s">
        <v>59</v>
      </c>
      <c r="E51" s="537"/>
      <c r="F51" s="538"/>
    </row>
    <row r="52" spans="2:9">
      <c r="B52" s="62" t="s">
        <v>265</v>
      </c>
      <c r="C52" s="362">
        <v>2.77</v>
      </c>
      <c r="D52" s="85" t="s">
        <v>59</v>
      </c>
      <c r="E52" s="537"/>
      <c r="F52" s="538"/>
    </row>
    <row r="53" spans="2:9">
      <c r="B53" s="62" t="s">
        <v>266</v>
      </c>
      <c r="C53" s="362">
        <v>1.44</v>
      </c>
      <c r="D53" s="85" t="s">
        <v>59</v>
      </c>
      <c r="E53" s="537"/>
      <c r="F53" s="538"/>
    </row>
    <row r="54" spans="2:9">
      <c r="B54" s="63" t="s">
        <v>60</v>
      </c>
      <c r="C54" s="362">
        <v>0.87</v>
      </c>
      <c r="D54" s="54" t="s">
        <v>59</v>
      </c>
      <c r="E54" s="537"/>
      <c r="F54" s="538"/>
    </row>
    <row r="55" spans="2:9" ht="15.75" thickBot="1">
      <c r="B55" s="64" t="s">
        <v>61</v>
      </c>
      <c r="C55" s="363">
        <v>0.71</v>
      </c>
      <c r="D55" s="55" t="s">
        <v>59</v>
      </c>
      <c r="E55" s="539"/>
      <c r="F55" s="540"/>
    </row>
    <row r="56" spans="2:9" ht="15.75" thickBot="1">
      <c r="B56" s="52"/>
      <c r="C56" s="52"/>
      <c r="D56" s="52"/>
    </row>
    <row r="57" spans="2:9" ht="17.25" thickBot="1">
      <c r="B57" s="86" t="s">
        <v>72</v>
      </c>
      <c r="C57" s="87"/>
      <c r="D57" s="88"/>
    </row>
    <row r="58" spans="2:9" ht="45">
      <c r="B58" s="89"/>
      <c r="C58" s="90" t="s">
        <v>73</v>
      </c>
      <c r="D58" s="91" t="s">
        <v>71</v>
      </c>
      <c r="E58" s="96" t="s">
        <v>106</v>
      </c>
      <c r="H58" s="95"/>
      <c r="I58" s="95" t="s">
        <v>99</v>
      </c>
    </row>
    <row r="59" spans="2:9">
      <c r="B59" s="92" t="s">
        <v>13</v>
      </c>
      <c r="C59" s="100">
        <v>-9.5</v>
      </c>
      <c r="D59" s="102">
        <v>-29.115551</v>
      </c>
      <c r="E59" s="97">
        <v>32.78</v>
      </c>
      <c r="I59" s="53" t="s">
        <v>101</v>
      </c>
    </row>
    <row r="60" spans="2:9">
      <c r="B60" s="92" t="s">
        <v>14</v>
      </c>
      <c r="C60" s="100">
        <v>-16.3</v>
      </c>
      <c r="D60" s="102">
        <v>-57.262635000000003</v>
      </c>
      <c r="E60" s="98">
        <v>38.67</v>
      </c>
      <c r="I60" s="53" t="s">
        <v>102</v>
      </c>
    </row>
    <row r="61" spans="2:9">
      <c r="B61" s="92" t="s">
        <v>17</v>
      </c>
      <c r="C61" s="100">
        <v>-21.2</v>
      </c>
      <c r="D61" s="102">
        <v>-62.907876999999999</v>
      </c>
      <c r="E61" s="97">
        <v>38.67</v>
      </c>
      <c r="I61" s="53" t="s">
        <v>103</v>
      </c>
    </row>
    <row r="62" spans="2:9">
      <c r="B62" s="92" t="s">
        <v>18</v>
      </c>
      <c r="C62" s="100">
        <v>-21.2</v>
      </c>
      <c r="D62" s="102">
        <v>-62.907876999999999</v>
      </c>
      <c r="E62" s="97">
        <v>22.95</v>
      </c>
    </row>
    <row r="63" spans="2:9">
      <c r="B63" s="92" t="s">
        <v>25</v>
      </c>
      <c r="C63" s="100">
        <v>-9.5</v>
      </c>
      <c r="D63" s="102">
        <v>-29.115551</v>
      </c>
      <c r="E63" s="97">
        <v>42.47</v>
      </c>
    </row>
    <row r="64" spans="2:9">
      <c r="B64" s="92" t="s">
        <v>20</v>
      </c>
      <c r="C64" s="100">
        <v>-9.5</v>
      </c>
      <c r="D64" s="102">
        <v>-29.115551</v>
      </c>
      <c r="E64" s="97">
        <v>42.47</v>
      </c>
      <c r="I64" s="95" t="s">
        <v>100</v>
      </c>
    </row>
    <row r="65" spans="2:9">
      <c r="B65" s="92" t="s">
        <v>16</v>
      </c>
      <c r="C65" s="100">
        <v>-11.4</v>
      </c>
      <c r="D65" s="102">
        <v>-33.907203000000003</v>
      </c>
      <c r="E65" s="97">
        <v>21.51</v>
      </c>
      <c r="I65" s="53" t="s">
        <v>104</v>
      </c>
    </row>
    <row r="66" spans="2:9">
      <c r="B66" s="92" t="s">
        <v>67</v>
      </c>
      <c r="C66" s="100">
        <v>-9.5</v>
      </c>
      <c r="D66" s="137" t="s">
        <v>376</v>
      </c>
      <c r="E66" s="53" t="s">
        <v>377</v>
      </c>
      <c r="I66" s="53" t="s">
        <v>105</v>
      </c>
    </row>
    <row r="67" spans="2:9">
      <c r="B67" s="92" t="s">
        <v>66</v>
      </c>
      <c r="C67" s="100">
        <v>-9.5</v>
      </c>
      <c r="D67" s="137" t="s">
        <v>376</v>
      </c>
      <c r="E67" s="53" t="s">
        <v>377</v>
      </c>
    </row>
    <row r="68" spans="2:9">
      <c r="B68" s="92" t="s">
        <v>11</v>
      </c>
      <c r="C68" s="100">
        <v>-16.3</v>
      </c>
      <c r="D68" s="102">
        <v>-48.523561999999998</v>
      </c>
    </row>
    <row r="69" spans="2:9">
      <c r="B69" s="92" t="s">
        <v>15</v>
      </c>
      <c r="C69" s="100">
        <v>-19.3</v>
      </c>
      <c r="D69" s="102">
        <v>-57.262635000000003</v>
      </c>
    </row>
    <row r="70" spans="2:9" ht="15.75" thickBot="1">
      <c r="B70" s="93" t="s">
        <v>19</v>
      </c>
      <c r="C70" s="101">
        <v>-0.5</v>
      </c>
      <c r="D70" s="138" t="s">
        <v>376</v>
      </c>
      <c r="E70" s="53" t="s">
        <v>377</v>
      </c>
    </row>
    <row r="72" spans="2:9">
      <c r="B72" s="81" t="s">
        <v>89</v>
      </c>
      <c r="C72" s="73"/>
      <c r="D72" s="73"/>
      <c r="E72" s="73"/>
      <c r="F72" s="74"/>
    </row>
    <row r="73" spans="2:9">
      <c r="B73" s="79" t="s">
        <v>91</v>
      </c>
      <c r="C73" s="77"/>
      <c r="D73" s="77"/>
      <c r="E73" s="77"/>
      <c r="F73" s="78"/>
    </row>
    <row r="74" spans="2:9">
      <c r="B74" s="80" t="s">
        <v>90</v>
      </c>
      <c r="C74" s="75"/>
      <c r="D74" s="75"/>
      <c r="E74" s="75"/>
      <c r="F74" s="76"/>
    </row>
    <row r="76" spans="2:9" ht="30.75" customHeight="1">
      <c r="B76" s="556" t="s">
        <v>426</v>
      </c>
      <c r="C76" s="557"/>
      <c r="D76" s="557"/>
      <c r="E76" s="557"/>
      <c r="F76" s="558"/>
    </row>
    <row r="78" spans="2:9" ht="15" customHeight="1">
      <c r="B78" s="534" t="s">
        <v>430</v>
      </c>
      <c r="C78" s="534"/>
      <c r="D78" s="534"/>
      <c r="E78" s="534"/>
      <c r="F78" s="534"/>
    </row>
    <row r="79" spans="2:9">
      <c r="B79" s="534"/>
      <c r="C79" s="534"/>
      <c r="D79" s="534"/>
      <c r="E79" s="534"/>
      <c r="F79" s="534"/>
    </row>
    <row r="80" spans="2:9">
      <c r="B80" s="534"/>
      <c r="C80" s="534"/>
      <c r="D80" s="534"/>
      <c r="E80" s="534"/>
      <c r="F80" s="534"/>
    </row>
    <row r="81" spans="2:18">
      <c r="B81" s="534"/>
      <c r="C81" s="534"/>
      <c r="D81" s="534"/>
      <c r="E81" s="534"/>
      <c r="F81" s="534"/>
    </row>
    <row r="82" spans="2:18">
      <c r="B82" s="534"/>
      <c r="C82" s="534"/>
      <c r="D82" s="534"/>
      <c r="E82" s="534"/>
      <c r="F82" s="534"/>
    </row>
    <row r="83" spans="2:18">
      <c r="B83" s="534"/>
      <c r="C83" s="534"/>
      <c r="D83" s="534"/>
      <c r="E83" s="534"/>
      <c r="F83" s="534"/>
    </row>
    <row r="84" spans="2:18" ht="15.75" thickBot="1">
      <c r="B84" s="534"/>
      <c r="C84" s="534"/>
      <c r="D84" s="534"/>
      <c r="E84" s="534"/>
      <c r="F84" s="534"/>
    </row>
    <row r="85" spans="2:18" ht="17.25" thickBot="1">
      <c r="B85" s="548" t="s">
        <v>411</v>
      </c>
      <c r="C85" s="549"/>
      <c r="D85" s="549"/>
      <c r="E85" s="549"/>
      <c r="F85" s="550"/>
      <c r="I85" s="95"/>
    </row>
    <row r="86" spans="2:18" ht="30" customHeight="1">
      <c r="B86" s="397" t="s">
        <v>58</v>
      </c>
      <c r="C86" s="65" t="s">
        <v>408</v>
      </c>
      <c r="D86" s="398" t="s">
        <v>0</v>
      </c>
      <c r="E86" s="551" t="s">
        <v>3</v>
      </c>
      <c r="F86" s="552"/>
      <c r="I86" s="534"/>
      <c r="J86" s="534"/>
      <c r="K86" s="534"/>
      <c r="L86" s="534"/>
      <c r="M86" s="534"/>
      <c r="N86" s="534"/>
      <c r="O86" s="534"/>
      <c r="P86" s="534"/>
      <c r="Q86" s="534"/>
      <c r="R86" s="534"/>
    </row>
    <row r="87" spans="2:18">
      <c r="B87" s="62" t="s">
        <v>393</v>
      </c>
      <c r="C87" s="402">
        <v>9.6751740139211131E-2</v>
      </c>
      <c r="D87" s="85" t="s">
        <v>398</v>
      </c>
      <c r="E87" s="553" t="s">
        <v>410</v>
      </c>
      <c r="F87" s="536"/>
      <c r="I87" s="534"/>
      <c r="J87" s="534"/>
      <c r="K87" s="534"/>
      <c r="L87" s="534"/>
      <c r="M87" s="534"/>
      <c r="N87" s="534"/>
      <c r="O87" s="534"/>
      <c r="P87" s="534"/>
      <c r="Q87" s="534"/>
      <c r="R87" s="534"/>
    </row>
    <row r="88" spans="2:18">
      <c r="B88" s="62" t="s">
        <v>394</v>
      </c>
      <c r="C88" s="402">
        <v>0.17549883990719256</v>
      </c>
      <c r="D88" s="85" t="s">
        <v>398</v>
      </c>
      <c r="E88" s="554"/>
      <c r="F88" s="538"/>
      <c r="I88" s="534"/>
      <c r="J88" s="534"/>
      <c r="K88" s="534"/>
      <c r="L88" s="534"/>
      <c r="M88" s="534"/>
      <c r="N88" s="534"/>
      <c r="O88" s="534"/>
      <c r="P88" s="534"/>
      <c r="Q88" s="534"/>
      <c r="R88" s="534"/>
    </row>
    <row r="89" spans="2:18">
      <c r="B89" s="62" t="s">
        <v>395</v>
      </c>
      <c r="C89" s="402">
        <v>0.20925754060324825</v>
      </c>
      <c r="D89" s="85" t="s">
        <v>398</v>
      </c>
      <c r="E89" s="554"/>
      <c r="F89" s="538"/>
      <c r="I89" s="534"/>
      <c r="J89" s="534"/>
      <c r="K89" s="534"/>
      <c r="L89" s="534"/>
      <c r="M89" s="534"/>
      <c r="N89" s="534"/>
      <c r="O89" s="534"/>
      <c r="P89" s="534"/>
      <c r="Q89" s="534"/>
      <c r="R89" s="534"/>
    </row>
    <row r="90" spans="2:18">
      <c r="B90" s="62" t="s">
        <v>396</v>
      </c>
      <c r="C90" s="402">
        <v>0.23352668213457076</v>
      </c>
      <c r="D90" s="85" t="s">
        <v>398</v>
      </c>
      <c r="E90" s="554"/>
      <c r="F90" s="538"/>
      <c r="I90" s="534"/>
      <c r="J90" s="534"/>
      <c r="K90" s="534"/>
      <c r="L90" s="534"/>
      <c r="M90" s="534"/>
      <c r="N90" s="534"/>
      <c r="O90" s="534"/>
      <c r="P90" s="534"/>
      <c r="Q90" s="534"/>
      <c r="R90" s="534"/>
    </row>
    <row r="91" spans="2:18" ht="15.75" thickBot="1">
      <c r="B91" s="111" t="s">
        <v>397</v>
      </c>
      <c r="C91" s="403">
        <v>0.25113689095127611</v>
      </c>
      <c r="D91" s="386" t="s">
        <v>398</v>
      </c>
      <c r="E91" s="555"/>
      <c r="F91" s="540"/>
      <c r="I91" s="534"/>
      <c r="J91" s="534"/>
      <c r="K91" s="534"/>
      <c r="L91" s="534"/>
      <c r="M91" s="534"/>
      <c r="N91" s="534"/>
      <c r="O91" s="534"/>
      <c r="P91" s="534"/>
      <c r="Q91" s="534"/>
      <c r="R91" s="534"/>
    </row>
    <row r="92" spans="2:18" ht="15.75" thickBot="1"/>
    <row r="93" spans="2:18" ht="17.45" customHeight="1" thickBot="1">
      <c r="B93" s="569" t="s">
        <v>387</v>
      </c>
      <c r="C93" s="570"/>
      <c r="D93" s="571"/>
      <c r="E93" s="551" t="s">
        <v>3</v>
      </c>
      <c r="F93" s="568"/>
    </row>
    <row r="94" spans="2:18" ht="105">
      <c r="B94" s="399" t="s">
        <v>58</v>
      </c>
      <c r="C94" s="65" t="s">
        <v>399</v>
      </c>
      <c r="D94" s="385" t="s">
        <v>0</v>
      </c>
      <c r="E94" s="553" t="s">
        <v>410</v>
      </c>
      <c r="F94" s="536"/>
    </row>
    <row r="95" spans="2:18" ht="16.5" customHeight="1">
      <c r="B95" s="62" t="s">
        <v>393</v>
      </c>
      <c r="C95" s="394">
        <v>1.2737819025522026E-4</v>
      </c>
      <c r="D95" s="85" t="s">
        <v>398</v>
      </c>
      <c r="E95" s="554"/>
      <c r="F95" s="538"/>
    </row>
    <row r="96" spans="2:18" ht="16.5">
      <c r="B96" s="62" t="s">
        <v>394</v>
      </c>
      <c r="C96" s="394">
        <v>3.2343387470997685E-4</v>
      </c>
      <c r="D96" s="85" t="s">
        <v>398</v>
      </c>
      <c r="E96" s="554"/>
      <c r="F96" s="538"/>
    </row>
    <row r="97" spans="2:6" ht="16.5">
      <c r="B97" s="62" t="s">
        <v>395</v>
      </c>
      <c r="C97" s="394">
        <v>7.447795823665893E-4</v>
      </c>
      <c r="D97" s="85" t="s">
        <v>398</v>
      </c>
      <c r="E97" s="554"/>
      <c r="F97" s="538"/>
    </row>
    <row r="98" spans="2:6" ht="16.5">
      <c r="B98" s="62" t="s">
        <v>396</v>
      </c>
      <c r="C98" s="394">
        <v>5.3132250580046421E-4</v>
      </c>
      <c r="D98" s="85" t="s">
        <v>398</v>
      </c>
      <c r="E98" s="554"/>
      <c r="F98" s="538"/>
    </row>
    <row r="99" spans="2:6" ht="17.25" thickBot="1">
      <c r="B99" s="111" t="s">
        <v>397</v>
      </c>
      <c r="C99" s="395">
        <v>1.1445475638051038E-3</v>
      </c>
      <c r="D99" s="386" t="s">
        <v>398</v>
      </c>
      <c r="E99" s="555"/>
      <c r="F99" s="540"/>
    </row>
    <row r="100" spans="2:6" ht="15.75" thickBot="1"/>
    <row r="101" spans="2:6" ht="17.25" thickBot="1">
      <c r="B101" s="548" t="s">
        <v>400</v>
      </c>
      <c r="C101" s="549"/>
      <c r="D101" s="549"/>
      <c r="E101" s="549"/>
      <c r="F101" s="550"/>
    </row>
    <row r="102" spans="2:6">
      <c r="B102" s="399" t="s">
        <v>58</v>
      </c>
      <c r="C102" s="400" t="s">
        <v>400</v>
      </c>
      <c r="D102" s="401" t="s">
        <v>0</v>
      </c>
      <c r="E102" s="551" t="s">
        <v>3</v>
      </c>
      <c r="F102" s="568"/>
    </row>
    <row r="103" spans="2:6" ht="14.45" customHeight="1">
      <c r="B103" s="62" t="s">
        <v>393</v>
      </c>
      <c r="C103" s="393">
        <v>3</v>
      </c>
      <c r="D103" s="381" t="s">
        <v>389</v>
      </c>
      <c r="E103" s="553" t="s">
        <v>410</v>
      </c>
      <c r="F103" s="536"/>
    </row>
    <row r="104" spans="2:6">
      <c r="B104" s="62" t="s">
        <v>394</v>
      </c>
      <c r="C104" s="383">
        <v>7.5</v>
      </c>
      <c r="D104" s="381" t="s">
        <v>389</v>
      </c>
      <c r="E104" s="554"/>
      <c r="F104" s="538"/>
    </row>
    <row r="105" spans="2:6">
      <c r="B105" s="62" t="s">
        <v>395</v>
      </c>
      <c r="C105" s="393">
        <v>18</v>
      </c>
      <c r="D105" s="381" t="s">
        <v>389</v>
      </c>
      <c r="E105" s="554"/>
      <c r="F105" s="538"/>
    </row>
    <row r="106" spans="2:6" ht="15" customHeight="1">
      <c r="B106" s="62" t="s">
        <v>396</v>
      </c>
      <c r="C106" s="393">
        <v>13</v>
      </c>
      <c r="D106" s="381" t="s">
        <v>389</v>
      </c>
      <c r="E106" s="554"/>
      <c r="F106" s="538"/>
    </row>
    <row r="107" spans="2:6" ht="15.75" thickBot="1">
      <c r="B107" s="111" t="s">
        <v>397</v>
      </c>
      <c r="C107" s="392">
        <v>28</v>
      </c>
      <c r="D107" s="382" t="s">
        <v>389</v>
      </c>
      <c r="E107" s="555"/>
      <c r="F107" s="540"/>
    </row>
    <row r="109" spans="2:6" hidden="1"/>
    <row r="110" spans="2:6" hidden="1">
      <c r="B110" s="131" t="s">
        <v>70</v>
      </c>
    </row>
    <row r="111" spans="2:6" hidden="1"/>
    <row r="112" spans="2:6" hidden="1">
      <c r="B112" s="131" t="s">
        <v>11</v>
      </c>
    </row>
    <row r="113" spans="2:2" hidden="1">
      <c r="B113" s="132" t="s">
        <v>14</v>
      </c>
    </row>
    <row r="114" spans="2:2" hidden="1">
      <c r="B114" s="132" t="s">
        <v>15</v>
      </c>
    </row>
    <row r="115" spans="2:2" hidden="1">
      <c r="B115" s="132" t="s">
        <v>86</v>
      </c>
    </row>
    <row r="116" spans="2:2" hidden="1">
      <c r="B116" s="132" t="s">
        <v>87</v>
      </c>
    </row>
    <row r="117" spans="2:2" hidden="1">
      <c r="B117" s="132" t="s">
        <v>17</v>
      </c>
    </row>
    <row r="118" spans="2:2" hidden="1">
      <c r="B118" s="132" t="s">
        <v>18</v>
      </c>
    </row>
    <row r="119" spans="2:2" hidden="1">
      <c r="B119" s="132" t="s">
        <v>19</v>
      </c>
    </row>
    <row r="120" spans="2:2" hidden="1">
      <c r="B120" s="132"/>
    </row>
    <row r="121" spans="2:2" hidden="1">
      <c r="B121" s="132"/>
    </row>
    <row r="122" spans="2:2" hidden="1">
      <c r="B122" s="132"/>
    </row>
    <row r="123" spans="2:2" hidden="1">
      <c r="B123" s="132"/>
    </row>
    <row r="124" spans="2:2" hidden="1">
      <c r="B124" s="133"/>
    </row>
    <row r="125" spans="2:2" hidden="1"/>
    <row r="126" spans="2:2" ht="15" hidden="1" customHeight="1"/>
    <row r="127" spans="2:2" ht="15" hidden="1" customHeight="1"/>
    <row r="128" spans="2:2" ht="15" hidden="1" customHeight="1"/>
    <row r="129" spans="2:15" ht="15" hidden="1" customHeight="1"/>
    <row r="130" spans="2:15" ht="15" hidden="1" customHeight="1"/>
    <row r="131" spans="2:15" ht="15" hidden="1" customHeight="1">
      <c r="J131" s="94"/>
      <c r="K131" s="94"/>
      <c r="L131" s="94"/>
      <c r="M131" s="94"/>
      <c r="N131" s="94"/>
      <c r="O131" s="94"/>
    </row>
    <row r="132" spans="2:15" ht="15" hidden="1" customHeight="1"/>
    <row r="133" spans="2:15" ht="15" hidden="1" customHeight="1"/>
    <row r="134" spans="2:15" ht="15" hidden="1" customHeight="1"/>
    <row r="135" spans="2:15" ht="15" hidden="1" customHeight="1">
      <c r="D135" s="95" t="s">
        <v>378</v>
      </c>
    </row>
    <row r="136" spans="2:15" hidden="1">
      <c r="B136" s="109" t="s">
        <v>141</v>
      </c>
      <c r="D136" s="53" t="s">
        <v>380</v>
      </c>
      <c r="E136" s="53" t="s">
        <v>381</v>
      </c>
    </row>
    <row r="137" spans="2:15" hidden="1">
      <c r="B137" s="131" t="s">
        <v>69</v>
      </c>
      <c r="D137" s="139" t="str">
        <f>'Afdanking tbv recycling'!D22:E22</f>
        <v>PP</v>
      </c>
      <c r="E137" s="131" t="str">
        <f>$B$137</f>
        <v>Verbranding in AVI</v>
      </c>
      <c r="F137" s="53">
        <f>IF(E138="",1,2)</f>
        <v>2</v>
      </c>
    </row>
    <row r="138" spans="2:15" hidden="1">
      <c r="B138" s="132" t="s">
        <v>70</v>
      </c>
      <c r="D138" s="140" t="b">
        <f>OR(IF(D137="PVC",1),IF(D137="PVAC",1),IF(D137="PIR",1))</f>
        <v>0</v>
      </c>
      <c r="E138" s="133" t="str">
        <f>IF(D137="PVC","",$B$138)</f>
        <v>Bijstook in cementoven</v>
      </c>
    </row>
    <row r="139" spans="2:15" hidden="1">
      <c r="B139" s="133" t="s">
        <v>140</v>
      </c>
    </row>
    <row r="140" spans="2:15" hidden="1"/>
    <row r="141" spans="2:15" hidden="1">
      <c r="D141" s="95"/>
    </row>
    <row r="142" spans="2:15" hidden="1">
      <c r="B142" s="131" t="s">
        <v>11</v>
      </c>
      <c r="D142" s="95" t="s">
        <v>379</v>
      </c>
    </row>
    <row r="143" spans="2:15" hidden="1">
      <c r="B143" s="132" t="s">
        <v>14</v>
      </c>
      <c r="D143" s="53" t="s">
        <v>380</v>
      </c>
      <c r="E143" s="53" t="s">
        <v>381</v>
      </c>
    </row>
    <row r="144" spans="2:15" hidden="1">
      <c r="B144" s="132" t="s">
        <v>15</v>
      </c>
      <c r="D144" s="139" t="str">
        <f>Recycling!D23</f>
        <v>PP</v>
      </c>
      <c r="E144" s="131" t="str">
        <f>$B$137</f>
        <v>Verbranding in AVI</v>
      </c>
    </row>
    <row r="145" spans="2:15" hidden="1">
      <c r="B145" s="132" t="s">
        <v>86</v>
      </c>
      <c r="D145" s="140" t="b">
        <f>OR(IF(D144="PVC",1),IF(D144="PVAC",1),IF(D144="PIR",1))</f>
        <v>0</v>
      </c>
      <c r="E145" s="132" t="str">
        <f>$B$139</f>
        <v>Recyclen bij andere verwerker</v>
      </c>
    </row>
    <row r="146" spans="2:15" hidden="1">
      <c r="B146" s="132" t="s">
        <v>87</v>
      </c>
      <c r="E146" s="133" t="str">
        <f>IF($D$144="PVC","",$B$138)</f>
        <v>Bijstook in cementoven</v>
      </c>
    </row>
    <row r="147" spans="2:15" hidden="1">
      <c r="B147" s="132" t="s">
        <v>17</v>
      </c>
    </row>
    <row r="148" spans="2:15" hidden="1">
      <c r="B148" s="132" t="s">
        <v>18</v>
      </c>
      <c r="D148" s="95" t="s">
        <v>383</v>
      </c>
    </row>
    <row r="149" spans="2:15" hidden="1">
      <c r="B149" s="132" t="s">
        <v>19</v>
      </c>
      <c r="D149" s="53" t="s">
        <v>380</v>
      </c>
      <c r="E149" s="53" t="s">
        <v>381</v>
      </c>
    </row>
    <row r="150" spans="2:15" hidden="1">
      <c r="B150" s="132" t="s">
        <v>25</v>
      </c>
      <c r="D150" s="139" t="str">
        <f>'Extern recyclaat'!D24:E24</f>
        <v>PP</v>
      </c>
      <c r="E150" s="131" t="str">
        <f>$B$137</f>
        <v>Verbranding in AVI</v>
      </c>
    </row>
    <row r="151" spans="2:15" hidden="1">
      <c r="B151" s="132" t="s">
        <v>13</v>
      </c>
      <c r="D151" s="140" t="b">
        <f>OR(IF(D150="PVC",1),IF(D150="PVAC",1),IF(D150="PIR",1))</f>
        <v>0</v>
      </c>
      <c r="E151" s="133" t="str">
        <f>IF($D$150="PVC","",$B$138)</f>
        <v>Bijstook in cementoven</v>
      </c>
    </row>
    <row r="152" spans="2:15" hidden="1">
      <c r="B152" s="132" t="s">
        <v>20</v>
      </c>
    </row>
    <row r="153" spans="2:15" hidden="1">
      <c r="B153" s="132" t="s">
        <v>66</v>
      </c>
    </row>
    <row r="154" spans="2:15" hidden="1">
      <c r="B154" s="133" t="s">
        <v>67</v>
      </c>
      <c r="D154" s="95" t="s">
        <v>382</v>
      </c>
    </row>
    <row r="155" spans="2:15" hidden="1">
      <c r="D155" s="53" t="s">
        <v>380</v>
      </c>
      <c r="E155" s="53" t="s">
        <v>381</v>
      </c>
    </row>
    <row r="156" spans="2:15" hidden="1">
      <c r="B156" s="109" t="s">
        <v>159</v>
      </c>
      <c r="D156" s="139" t="str">
        <f>'Intern recyclaat'!D24:E24</f>
        <v>PP</v>
      </c>
      <c r="E156" s="131" t="str">
        <f>$B$137</f>
        <v>Verbranding in AVI</v>
      </c>
    </row>
    <row r="157" spans="2:15" hidden="1">
      <c r="B157" s="131" t="s">
        <v>11</v>
      </c>
      <c r="D157" s="140" t="b">
        <f>OR(IF(D156="PVC",1),IF(D156="PVAC",1),IF(D156="PIR",1))</f>
        <v>0</v>
      </c>
      <c r="E157" s="133" t="str">
        <f>IF($D$156="PVC","",$B$138)</f>
        <v>Bijstook in cementoven</v>
      </c>
    </row>
    <row r="158" spans="2:15" hidden="1">
      <c r="B158" s="132" t="s">
        <v>14</v>
      </c>
    </row>
    <row r="159" spans="2:15" hidden="1">
      <c r="B159" s="132" t="s">
        <v>15</v>
      </c>
      <c r="J159" s="94"/>
      <c r="L159" s="94"/>
      <c r="O159" s="94"/>
    </row>
    <row r="160" spans="2:15" hidden="1">
      <c r="B160" s="132" t="s">
        <v>86</v>
      </c>
    </row>
    <row r="161" spans="2:2" hidden="1">
      <c r="B161" s="132" t="s">
        <v>87</v>
      </c>
    </row>
    <row r="162" spans="2:2" hidden="1">
      <c r="B162" s="132" t="s">
        <v>17</v>
      </c>
    </row>
    <row r="163" spans="2:2" hidden="1">
      <c r="B163" s="132" t="s">
        <v>18</v>
      </c>
    </row>
    <row r="164" spans="2:2" hidden="1">
      <c r="B164" s="132" t="s">
        <v>19</v>
      </c>
    </row>
    <row r="165" spans="2:2" hidden="1">
      <c r="B165" s="132" t="s">
        <v>25</v>
      </c>
    </row>
    <row r="166" spans="2:2" hidden="1">
      <c r="B166" s="132" t="s">
        <v>13</v>
      </c>
    </row>
    <row r="167" spans="2:2" hidden="1">
      <c r="B167" s="132" t="s">
        <v>20</v>
      </c>
    </row>
    <row r="168" spans="2:2" hidden="1">
      <c r="B168" s="132" t="s">
        <v>66</v>
      </c>
    </row>
    <row r="169" spans="2:2" hidden="1">
      <c r="B169" s="133" t="s">
        <v>67</v>
      </c>
    </row>
    <row r="170" spans="2:2" hidden="1"/>
    <row r="171" spans="2:2" hidden="1"/>
    <row r="172" spans="2:2" hidden="1">
      <c r="B172" s="109" t="s">
        <v>185</v>
      </c>
    </row>
    <row r="173" spans="2:2" hidden="1">
      <c r="B173" s="131" t="s">
        <v>11</v>
      </c>
    </row>
    <row r="174" spans="2:2" hidden="1">
      <c r="B174" s="132" t="s">
        <v>14</v>
      </c>
    </row>
    <row r="175" spans="2:2" hidden="1">
      <c r="B175" s="132" t="s">
        <v>15</v>
      </c>
    </row>
    <row r="176" spans="2:2" hidden="1">
      <c r="B176" s="132" t="s">
        <v>86</v>
      </c>
    </row>
    <row r="177" spans="2:2" hidden="1">
      <c r="B177" s="132" t="s">
        <v>87</v>
      </c>
    </row>
    <row r="178" spans="2:2" hidden="1">
      <c r="B178" s="132" t="s">
        <v>17</v>
      </c>
    </row>
    <row r="179" spans="2:2" hidden="1">
      <c r="B179" s="132" t="s">
        <v>18</v>
      </c>
    </row>
    <row r="180" spans="2:2" hidden="1">
      <c r="B180" s="132" t="s">
        <v>19</v>
      </c>
    </row>
    <row r="181" spans="2:2" hidden="1">
      <c r="B181" s="132" t="s">
        <v>25</v>
      </c>
    </row>
    <row r="182" spans="2:2" hidden="1">
      <c r="B182" s="132" t="s">
        <v>13</v>
      </c>
    </row>
    <row r="183" spans="2:2" hidden="1">
      <c r="B183" s="132" t="s">
        <v>20</v>
      </c>
    </row>
    <row r="184" spans="2:2" hidden="1">
      <c r="B184" s="132" t="s">
        <v>62</v>
      </c>
    </row>
    <row r="185" spans="2:2" hidden="1">
      <c r="B185" s="132" t="s">
        <v>66</v>
      </c>
    </row>
    <row r="186" spans="2:2" hidden="1">
      <c r="B186" s="133" t="s">
        <v>67</v>
      </c>
    </row>
    <row r="187" spans="2:2" hidden="1">
      <c r="B187" s="131" t="s">
        <v>93</v>
      </c>
    </row>
    <row r="188" spans="2:2" hidden="1">
      <c r="B188" s="132" t="s">
        <v>65</v>
      </c>
    </row>
    <row r="189" spans="2:2" hidden="1">
      <c r="B189" s="132" t="s">
        <v>63</v>
      </c>
    </row>
    <row r="190" spans="2:2" hidden="1">
      <c r="B190" s="132" t="s">
        <v>64</v>
      </c>
    </row>
    <row r="191" spans="2:2" hidden="1">
      <c r="B191" s="133" t="s">
        <v>98</v>
      </c>
    </row>
    <row r="192" spans="2:2" hidden="1"/>
    <row r="193" spans="1:3" hidden="1">
      <c r="B193" s="135" t="s">
        <v>210</v>
      </c>
    </row>
    <row r="194" spans="1:3" hidden="1">
      <c r="B194" s="391" t="s">
        <v>393</v>
      </c>
      <c r="C194" s="134"/>
    </row>
    <row r="195" spans="1:3" hidden="1">
      <c r="A195" s="388"/>
      <c r="B195" s="390" t="s">
        <v>394</v>
      </c>
      <c r="C195" s="52"/>
    </row>
    <row r="196" spans="1:3" hidden="1">
      <c r="A196" s="388"/>
      <c r="B196" s="389" t="s">
        <v>395</v>
      </c>
      <c r="C196" s="134"/>
    </row>
    <row r="197" spans="1:3" hidden="1">
      <c r="A197" s="388"/>
      <c r="B197" s="389" t="s">
        <v>396</v>
      </c>
      <c r="C197" s="134"/>
    </row>
    <row r="198" spans="1:3" hidden="1">
      <c r="A198" s="388"/>
      <c r="B198" s="387" t="s">
        <v>397</v>
      </c>
      <c r="C198" s="134"/>
    </row>
    <row r="199" spans="1:3" hidden="1">
      <c r="B199" s="52"/>
    </row>
    <row r="200" spans="1:3" hidden="1">
      <c r="B200" s="109" t="s">
        <v>251</v>
      </c>
    </row>
    <row r="201" spans="1:3" hidden="1">
      <c r="B201" s="131" t="s">
        <v>62</v>
      </c>
    </row>
    <row r="202" spans="1:3" hidden="1">
      <c r="B202" s="133" t="s">
        <v>64</v>
      </c>
    </row>
    <row r="203" spans="1:3" hidden="1"/>
    <row r="204" spans="1:3" hidden="1"/>
    <row r="205" spans="1:3" hidden="1">
      <c r="B205" s="53" t="s">
        <v>308</v>
      </c>
      <c r="C205" s="53" t="s">
        <v>309</v>
      </c>
    </row>
    <row r="206" spans="1:3" hidden="1">
      <c r="B206" s="53" t="s">
        <v>310</v>
      </c>
      <c r="C206" s="53" t="s">
        <v>311</v>
      </c>
    </row>
    <row r="207" spans="1:3" hidden="1">
      <c r="B207" s="53" t="s">
        <v>312</v>
      </c>
      <c r="C207" s="53" t="s">
        <v>313</v>
      </c>
    </row>
    <row r="208" spans="1:3" hidden="1">
      <c r="B208" s="53" t="s">
        <v>314</v>
      </c>
      <c r="C208" s="53" t="s">
        <v>315</v>
      </c>
    </row>
    <row r="209" spans="2:3" hidden="1">
      <c r="B209" s="53" t="s">
        <v>316</v>
      </c>
      <c r="C209" s="53" t="s">
        <v>317</v>
      </c>
    </row>
    <row r="210" spans="2:3" hidden="1">
      <c r="B210" s="53" t="s">
        <v>318</v>
      </c>
      <c r="C210" s="53" t="s">
        <v>319</v>
      </c>
    </row>
    <row r="211" spans="2:3" hidden="1">
      <c r="B211" s="53" t="s">
        <v>320</v>
      </c>
      <c r="C211" s="53" t="s">
        <v>321</v>
      </c>
    </row>
    <row r="212" spans="2:3" hidden="1">
      <c r="B212" s="53" t="s">
        <v>322</v>
      </c>
      <c r="C212" s="53" t="s">
        <v>323</v>
      </c>
    </row>
    <row r="213" spans="2:3" hidden="1">
      <c r="B213" s="53" t="s">
        <v>324</v>
      </c>
      <c r="C213" s="53" t="s">
        <v>325</v>
      </c>
    </row>
    <row r="214" spans="2:3" hidden="1">
      <c r="B214" s="53" t="s">
        <v>326</v>
      </c>
      <c r="C214" s="53" t="s">
        <v>327</v>
      </c>
    </row>
    <row r="215" spans="2:3" hidden="1">
      <c r="B215" s="53" t="s">
        <v>328</v>
      </c>
      <c r="C215" s="53" t="s">
        <v>329</v>
      </c>
    </row>
    <row r="216" spans="2:3" hidden="1">
      <c r="B216" s="53" t="s">
        <v>330</v>
      </c>
      <c r="C216" s="53" t="s">
        <v>331</v>
      </c>
    </row>
    <row r="217" spans="2:3" hidden="1">
      <c r="B217" s="53" t="s">
        <v>332</v>
      </c>
      <c r="C217" s="53" t="s">
        <v>333</v>
      </c>
    </row>
    <row r="218" spans="2:3" hidden="1">
      <c r="B218" s="53" t="s">
        <v>334</v>
      </c>
      <c r="C218" s="53" t="s">
        <v>335</v>
      </c>
    </row>
    <row r="219" spans="2:3" hidden="1">
      <c r="B219" s="53" t="s">
        <v>336</v>
      </c>
      <c r="C219" s="53" t="s">
        <v>337</v>
      </c>
    </row>
    <row r="220" spans="2:3" hidden="1">
      <c r="B220" s="53" t="s">
        <v>338</v>
      </c>
      <c r="C220" s="53" t="s">
        <v>339</v>
      </c>
    </row>
    <row r="221" spans="2:3" hidden="1">
      <c r="B221" s="53" t="s">
        <v>340</v>
      </c>
      <c r="C221" s="53" t="s">
        <v>341</v>
      </c>
    </row>
    <row r="222" spans="2:3" hidden="1">
      <c r="B222" s="53" t="s">
        <v>342</v>
      </c>
      <c r="C222" s="53" t="s">
        <v>343</v>
      </c>
    </row>
    <row r="223" spans="2:3" hidden="1">
      <c r="B223" s="53" t="s">
        <v>344</v>
      </c>
      <c r="C223" s="53" t="s">
        <v>345</v>
      </c>
    </row>
    <row r="224" spans="2:3" hidden="1">
      <c r="B224" s="53" t="s">
        <v>346</v>
      </c>
      <c r="C224" s="53" t="s">
        <v>375</v>
      </c>
    </row>
    <row r="225" spans="2:15" hidden="1">
      <c r="B225" s="53" t="s">
        <v>348</v>
      </c>
      <c r="C225" s="53" t="s">
        <v>347</v>
      </c>
    </row>
    <row r="226" spans="2:15" hidden="1">
      <c r="B226" s="53" t="s">
        <v>349</v>
      </c>
      <c r="C226" s="53" t="s">
        <v>347</v>
      </c>
    </row>
    <row r="227" spans="2:15" hidden="1">
      <c r="B227" s="53" t="s">
        <v>350</v>
      </c>
      <c r="C227" s="53" t="s">
        <v>351</v>
      </c>
    </row>
    <row r="228" spans="2:15" ht="15" hidden="1" customHeight="1">
      <c r="B228" s="53" t="s">
        <v>352</v>
      </c>
      <c r="C228" s="53" t="s">
        <v>353</v>
      </c>
    </row>
    <row r="229" spans="2:15" hidden="1"/>
    <row r="230" spans="2:15" ht="150" hidden="1">
      <c r="B230" s="53" t="s">
        <v>351</v>
      </c>
      <c r="C230" s="53" t="s">
        <v>354</v>
      </c>
      <c r="D230" s="96" t="s">
        <v>355</v>
      </c>
      <c r="E230" s="96" t="s">
        <v>356</v>
      </c>
      <c r="F230" s="96" t="s">
        <v>357</v>
      </c>
      <c r="G230" s="96" t="s">
        <v>358</v>
      </c>
      <c r="H230" s="96" t="s">
        <v>359</v>
      </c>
      <c r="I230" s="96" t="s">
        <v>360</v>
      </c>
      <c r="J230" s="96" t="s">
        <v>361</v>
      </c>
      <c r="K230" s="96" t="s">
        <v>362</v>
      </c>
      <c r="L230" s="96" t="s">
        <v>363</v>
      </c>
      <c r="M230" s="96" t="s">
        <v>364</v>
      </c>
      <c r="N230" s="96" t="s">
        <v>365</v>
      </c>
      <c r="O230" s="96" t="s">
        <v>366</v>
      </c>
    </row>
    <row r="231" spans="2:15" hidden="1">
      <c r="B231" s="53" t="s">
        <v>367</v>
      </c>
      <c r="C231" s="53" t="s">
        <v>368</v>
      </c>
      <c r="D231" s="136">
        <v>-29.115551</v>
      </c>
      <c r="E231" s="136">
        <v>-9.4712314000000006</v>
      </c>
      <c r="F231" s="136">
        <v>-62.907876999999999</v>
      </c>
      <c r="G231" s="136">
        <v>-21.193163999999999</v>
      </c>
      <c r="H231" s="136">
        <v>-33.907203000000003</v>
      </c>
      <c r="I231" s="136">
        <v>-11.365346000000001</v>
      </c>
      <c r="J231" s="136">
        <v>-48.523561999999998</v>
      </c>
      <c r="K231" s="136">
        <v>-16.326522000000001</v>
      </c>
      <c r="L231" s="136">
        <v>-57.262635000000003</v>
      </c>
      <c r="M231" s="136">
        <v>-19.280342000000001</v>
      </c>
      <c r="N231" s="136">
        <v>-21.578769999999999</v>
      </c>
      <c r="O231" s="136">
        <v>-0.45130436000000002</v>
      </c>
    </row>
    <row r="232" spans="2:15" hidden="1">
      <c r="B232" s="53" t="s">
        <v>369</v>
      </c>
      <c r="C232" s="53" t="s">
        <v>368</v>
      </c>
      <c r="D232" s="53">
        <v>-28.631181000000002</v>
      </c>
      <c r="E232" s="53">
        <v>-8.5048165999999998</v>
      </c>
      <c r="F232" s="53">
        <v>-61.679696</v>
      </c>
      <c r="G232" s="53">
        <v>-18.941362000000002</v>
      </c>
      <c r="H232" s="53">
        <v>-33.246603999999998</v>
      </c>
      <c r="I232" s="53">
        <v>-10.151600999999999</v>
      </c>
      <c r="J232" s="53">
        <v>-47.577477000000002</v>
      </c>
      <c r="K232" s="53">
        <v>-14.590366</v>
      </c>
      <c r="L232" s="53">
        <v>-56.144905999999999</v>
      </c>
      <c r="M232" s="53">
        <v>-17.230581000000001</v>
      </c>
      <c r="N232" s="53">
        <v>-23.307334000000001</v>
      </c>
      <c r="O232" s="53">
        <v>-1.6614294000000001</v>
      </c>
    </row>
    <row r="233" spans="2:15" hidden="1">
      <c r="B233" s="53" t="s">
        <v>370</v>
      </c>
      <c r="C233" s="53" t="s">
        <v>368</v>
      </c>
      <c r="D233" s="53">
        <v>-0.15040102</v>
      </c>
      <c r="E233" s="53">
        <v>-0.67900322000000002</v>
      </c>
      <c r="F233" s="53">
        <v>-0.44606678</v>
      </c>
      <c r="G233" s="53">
        <v>-1.5685536</v>
      </c>
      <c r="H233" s="53">
        <v>-0.23942696999999999</v>
      </c>
      <c r="I233" s="53">
        <v>-0.84599798999999998</v>
      </c>
      <c r="J233" s="53">
        <v>-0.34328771000000002</v>
      </c>
      <c r="K233" s="53">
        <v>-1.2096667000000001</v>
      </c>
      <c r="L233" s="53">
        <v>-0.40593127000000001</v>
      </c>
      <c r="M233" s="53">
        <v>-1.4279835999999999</v>
      </c>
      <c r="N233" s="53">
        <v>1.2747193000000001</v>
      </c>
      <c r="O233" s="53">
        <v>0.70620766000000001</v>
      </c>
    </row>
    <row r="234" spans="2:15" hidden="1">
      <c r="B234" s="53" t="s">
        <v>371</v>
      </c>
      <c r="C234" s="53" t="s">
        <v>368</v>
      </c>
      <c r="D234" s="94">
        <v>-8.1887857000000002E-5</v>
      </c>
      <c r="E234" s="94">
        <v>-1.6937163999999999E-5</v>
      </c>
      <c r="F234" s="53">
        <v>-1.8383681000000001E-4</v>
      </c>
      <c r="G234" s="94">
        <v>-4.5914017000000001E-5</v>
      </c>
      <c r="H234" s="94">
        <v>-9.8690697999999995E-5</v>
      </c>
      <c r="I234" s="94">
        <v>-2.4159777999999998E-5</v>
      </c>
      <c r="J234" s="53">
        <v>-1.4162317999999999E-4</v>
      </c>
      <c r="K234" s="94">
        <v>-3.5168995000000001E-5</v>
      </c>
      <c r="L234" s="53">
        <v>-1.6723399999999999E-4</v>
      </c>
      <c r="M234" s="94">
        <v>-4.1651828999999999E-5</v>
      </c>
      <c r="N234" s="94">
        <v>8.4329764999999994E-6</v>
      </c>
      <c r="O234" s="94">
        <v>7.8287446999999994E-5</v>
      </c>
    </row>
    <row r="235" spans="2:15" hidden="1">
      <c r="B235" s="53" t="s">
        <v>372</v>
      </c>
      <c r="C235" s="53" t="s">
        <v>368</v>
      </c>
      <c r="D235" s="53">
        <v>-0.259766</v>
      </c>
      <c r="E235" s="53">
        <v>-0.16448492000000001</v>
      </c>
      <c r="F235" s="53">
        <v>-0.57101504000000003</v>
      </c>
      <c r="G235" s="53">
        <v>-0.36868566000000003</v>
      </c>
      <c r="H235" s="53">
        <v>-0.30804091</v>
      </c>
      <c r="I235" s="53">
        <v>-0.19870587000000001</v>
      </c>
      <c r="J235" s="53">
        <v>-0.44044235999999998</v>
      </c>
      <c r="K235" s="53">
        <v>-0.28427667000000001</v>
      </c>
      <c r="L235" s="53">
        <v>-0.51979611000000003</v>
      </c>
      <c r="M235" s="53">
        <v>-0.33557014000000002</v>
      </c>
      <c r="N235" s="53">
        <v>-6.8442033999999999E-2</v>
      </c>
      <c r="O235" s="53">
        <v>3.4032771000000003E-2</v>
      </c>
    </row>
    <row r="236" spans="2:15" hidden="1">
      <c r="B236" s="53" t="s">
        <v>373</v>
      </c>
      <c r="C236" s="53" t="s">
        <v>368</v>
      </c>
      <c r="D236" s="53">
        <v>-1.1590611000000001E-2</v>
      </c>
      <c r="E236" s="53">
        <v>-0.12103344000000001</v>
      </c>
      <c r="F236" s="53">
        <v>-3.3288301999999999E-2</v>
      </c>
      <c r="G236" s="53">
        <v>-0.26569015000000001</v>
      </c>
      <c r="H236" s="53">
        <v>-1.7888226E-2</v>
      </c>
      <c r="I236" s="53">
        <v>-0.14347387</v>
      </c>
      <c r="J236" s="53">
        <v>-2.5627227999999998E-2</v>
      </c>
      <c r="K236" s="53">
        <v>-0.20500403</v>
      </c>
      <c r="L236" s="53">
        <v>-3.0293417999999999E-2</v>
      </c>
      <c r="M236" s="53">
        <v>-0.24190112999999999</v>
      </c>
      <c r="N236" s="53">
        <v>8.7081101999999994E-2</v>
      </c>
      <c r="O236" s="53">
        <v>-3.0624661000000001E-2</v>
      </c>
    </row>
    <row r="237" spans="2:15" hidden="1">
      <c r="B237" s="53" t="s">
        <v>374</v>
      </c>
      <c r="C237" s="53" t="s">
        <v>368</v>
      </c>
      <c r="D237" s="53">
        <v>-6.2531181000000005E-2</v>
      </c>
      <c r="E237" s="53">
        <v>-1.8763302999999999E-3</v>
      </c>
      <c r="F237" s="53">
        <v>-0.17762701</v>
      </c>
      <c r="G237" s="53">
        <v>-4.8826435000000001E-2</v>
      </c>
      <c r="H237" s="53">
        <v>-9.5144408E-2</v>
      </c>
      <c r="I237" s="53">
        <v>-2.5542967999999999E-2</v>
      </c>
      <c r="J237" s="53">
        <v>-0.13658590000000001</v>
      </c>
      <c r="K237" s="53">
        <v>-3.7172596000000002E-2</v>
      </c>
      <c r="L237" s="53">
        <v>-0.16154031999999999</v>
      </c>
      <c r="M237" s="53">
        <v>-4.4264170999999998E-2</v>
      </c>
      <c r="N237" s="53">
        <v>0.43519668</v>
      </c>
      <c r="O237" s="53">
        <v>0.50043097999999997</v>
      </c>
    </row>
    <row r="238" spans="2:15" hidden="1"/>
    <row r="239" spans="2:15" hidden="1"/>
  </sheetData>
  <sortState ref="B50:D56">
    <sortCondition ref="B50"/>
  </sortState>
  <mergeCells count="25">
    <mergeCell ref="E102:F102"/>
    <mergeCell ref="E103:F107"/>
    <mergeCell ref="E93:F93"/>
    <mergeCell ref="E94:F99"/>
    <mergeCell ref="B93:D93"/>
    <mergeCell ref="B101:F101"/>
    <mergeCell ref="B2:F2"/>
    <mergeCell ref="B48:F48"/>
    <mergeCell ref="B3:F3"/>
    <mergeCell ref="F6:H6"/>
    <mergeCell ref="E5:H5"/>
    <mergeCell ref="E7:H20"/>
    <mergeCell ref="E21:H21"/>
    <mergeCell ref="E22:H22"/>
    <mergeCell ref="I86:R91"/>
    <mergeCell ref="E50:F55"/>
    <mergeCell ref="E23:H23"/>
    <mergeCell ref="E24:H24"/>
    <mergeCell ref="E25:H25"/>
    <mergeCell ref="E49:F49"/>
    <mergeCell ref="B85:F85"/>
    <mergeCell ref="E86:F86"/>
    <mergeCell ref="E87:F91"/>
    <mergeCell ref="B76:F76"/>
    <mergeCell ref="B78:F84"/>
  </mergeCells>
  <phoneticPr fontId="0" type="noConversion"/>
  <hyperlinks>
    <hyperlink ref="B73" r:id="rId1"/>
  </hyperlinks>
  <pageMargins left="0.70866141732283472" right="0.70866141732283472" top="0.74803149606299213" bottom="0.74803149606299213" header="0.31496062992125984" footer="0.31496062992125984"/>
  <pageSetup paperSize="9" scale="58"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E1:P55"/>
  <sheetViews>
    <sheetView workbookViewId="0">
      <selection activeCell="C11" sqref="C11"/>
    </sheetView>
  </sheetViews>
  <sheetFormatPr defaultColWidth="8.85546875" defaultRowHeight="15"/>
  <cols>
    <col min="1" max="1" width="3.7109375" style="105" customWidth="1"/>
    <col min="2" max="16384" width="8.85546875" style="105"/>
  </cols>
  <sheetData>
    <row r="1" spans="5:16">
      <c r="E1" s="106"/>
    </row>
    <row r="2" spans="5:16">
      <c r="P2" s="107"/>
    </row>
    <row r="3" spans="5:16">
      <c r="P3" s="99"/>
    </row>
    <row r="4" spans="5:16">
      <c r="P4" s="99"/>
    </row>
    <row r="5" spans="5:16">
      <c r="P5" s="99"/>
    </row>
    <row r="6" spans="5:16">
      <c r="P6" s="99"/>
    </row>
    <row r="7" spans="5:16">
      <c r="P7" s="99"/>
    </row>
    <row r="8" spans="5:16">
      <c r="P8" s="99"/>
    </row>
    <row r="9" spans="5:16">
      <c r="P9" s="99"/>
    </row>
    <row r="53" spans="16:16">
      <c r="P53" s="99"/>
    </row>
    <row r="54" spans="16:16">
      <c r="P54" s="99"/>
    </row>
    <row r="55" spans="16:16">
      <c r="P55" s="99"/>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indexed="44"/>
    <pageSetUpPr fitToPage="1"/>
  </sheetPr>
  <dimension ref="D1:P4"/>
  <sheetViews>
    <sheetView workbookViewId="0"/>
  </sheetViews>
  <sheetFormatPr defaultColWidth="8.85546875" defaultRowHeight="12.75"/>
  <cols>
    <col min="1" max="1" width="3.7109375" style="57" customWidth="1"/>
    <col min="2" max="16384" width="8.85546875" style="57"/>
  </cols>
  <sheetData>
    <row r="1" spans="4:16">
      <c r="D1" s="103"/>
    </row>
    <row r="3" spans="4:16">
      <c r="P3" s="104"/>
    </row>
    <row r="4" spans="4:16">
      <c r="P4" s="104"/>
    </row>
  </sheetData>
  <phoneticPr fontId="0" type="noConversion"/>
  <pageMargins left="0.74803149606299213" right="0.74803149606299213" top="0.98425196850393704" bottom="0.98425196850393704"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rgb="FF92D050"/>
    <pageSetUpPr fitToPage="1"/>
  </sheetPr>
  <dimension ref="B1:Q59"/>
  <sheetViews>
    <sheetView topLeftCell="A16" workbookViewId="0">
      <selection activeCell="A16" sqref="A16"/>
    </sheetView>
  </sheetViews>
  <sheetFormatPr defaultColWidth="9.140625" defaultRowHeight="15"/>
  <cols>
    <col min="1" max="2" width="3.7109375" style="142" customWidth="1"/>
    <col min="3" max="3" width="47.5703125" style="142" customWidth="1"/>
    <col min="4" max="4" width="22.28515625" style="142" customWidth="1"/>
    <col min="5" max="5" width="24.140625" style="142" customWidth="1"/>
    <col min="6" max="6" width="11.28515625" style="142" customWidth="1"/>
    <col min="7" max="7" width="27.5703125" style="142" customWidth="1"/>
    <col min="8" max="8" width="3.7109375" style="142" customWidth="1"/>
    <col min="9" max="10" width="9.140625" style="142"/>
    <col min="11" max="11" width="10" style="142" bestFit="1" customWidth="1"/>
    <col min="12" max="16384" width="9.140625" style="142"/>
  </cols>
  <sheetData>
    <row r="1" spans="2:17" ht="15.75" thickBot="1"/>
    <row r="2" spans="2:17">
      <c r="B2" s="143"/>
      <c r="C2" s="144"/>
      <c r="D2" s="144"/>
      <c r="E2" s="145"/>
      <c r="F2" s="145"/>
      <c r="G2" s="145"/>
      <c r="H2" s="146"/>
    </row>
    <row r="3" spans="2:17">
      <c r="B3" s="147"/>
      <c r="C3" s="148" t="s">
        <v>125</v>
      </c>
      <c r="D3" s="149"/>
      <c r="E3" s="150"/>
      <c r="F3" s="149"/>
      <c r="G3" s="149"/>
      <c r="H3" s="151"/>
      <c r="J3" s="152"/>
      <c r="K3" s="152"/>
      <c r="L3" s="152"/>
      <c r="M3" s="152"/>
      <c r="N3" s="152"/>
      <c r="O3" s="152"/>
      <c r="P3" s="152"/>
      <c r="Q3" s="152"/>
    </row>
    <row r="4" spans="2:17">
      <c r="B4" s="147"/>
      <c r="C4" s="153" t="s">
        <v>109</v>
      </c>
      <c r="D4" s="427" t="s">
        <v>123</v>
      </c>
      <c r="E4" s="427"/>
      <c r="F4" s="427"/>
      <c r="G4" s="427"/>
      <c r="H4" s="151"/>
      <c r="J4" s="152"/>
      <c r="K4" s="152"/>
      <c r="L4" s="152"/>
      <c r="M4" s="152"/>
      <c r="N4" s="152"/>
      <c r="O4" s="152"/>
      <c r="P4" s="152"/>
      <c r="Q4" s="152"/>
    </row>
    <row r="5" spans="2:17">
      <c r="B5" s="147"/>
      <c r="C5" s="154" t="s">
        <v>110</v>
      </c>
      <c r="D5" s="428" t="s">
        <v>111</v>
      </c>
      <c r="E5" s="428"/>
      <c r="F5" s="428"/>
      <c r="G5" s="428"/>
      <c r="H5" s="151"/>
      <c r="J5" s="152"/>
      <c r="K5" s="155"/>
      <c r="L5" s="419"/>
      <c r="M5" s="419"/>
      <c r="N5" s="419"/>
      <c r="O5" s="419"/>
      <c r="P5" s="152"/>
      <c r="Q5" s="152"/>
    </row>
    <row r="6" spans="2:17">
      <c r="B6" s="147"/>
      <c r="C6" s="154" t="s">
        <v>112</v>
      </c>
      <c r="D6" s="429" t="s">
        <v>124</v>
      </c>
      <c r="E6" s="425"/>
      <c r="F6" s="425"/>
      <c r="G6" s="426"/>
      <c r="H6" s="151"/>
      <c r="J6" s="152"/>
      <c r="K6" s="155"/>
      <c r="L6" s="419"/>
      <c r="M6" s="419"/>
      <c r="N6" s="419"/>
      <c r="O6" s="419"/>
      <c r="P6" s="152"/>
      <c r="Q6" s="152"/>
    </row>
    <row r="7" spans="2:17">
      <c r="B7" s="147"/>
      <c r="C7" s="154" t="s">
        <v>120</v>
      </c>
      <c r="D7" s="156" t="s">
        <v>139</v>
      </c>
      <c r="E7" s="157"/>
      <c r="F7" s="157"/>
      <c r="G7" s="158"/>
      <c r="H7" s="151"/>
      <c r="J7" s="152"/>
      <c r="K7" s="155"/>
      <c r="L7" s="155"/>
      <c r="M7" s="155"/>
      <c r="N7" s="155"/>
      <c r="O7" s="155"/>
      <c r="P7" s="152"/>
      <c r="Q7" s="152"/>
    </row>
    <row r="8" spans="2:17">
      <c r="B8" s="147"/>
      <c r="C8" s="154" t="s">
        <v>385</v>
      </c>
      <c r="D8" s="430">
        <v>2017</v>
      </c>
      <c r="E8" s="431"/>
      <c r="F8" s="431"/>
      <c r="G8" s="432"/>
      <c r="H8" s="151"/>
      <c r="J8" s="152"/>
      <c r="K8" s="155"/>
      <c r="L8" s="155"/>
      <c r="M8" s="155"/>
      <c r="N8" s="155"/>
      <c r="O8" s="155"/>
      <c r="P8" s="152"/>
      <c r="Q8" s="152"/>
    </row>
    <row r="9" spans="2:17">
      <c r="B9" s="147"/>
      <c r="C9" s="154" t="s">
        <v>113</v>
      </c>
      <c r="D9" s="423">
        <v>0.33</v>
      </c>
      <c r="E9" s="423"/>
      <c r="F9" s="423"/>
      <c r="G9" s="423"/>
      <c r="H9" s="151"/>
      <c r="J9" s="152"/>
      <c r="K9" s="155"/>
      <c r="L9" s="420"/>
      <c r="M9" s="420"/>
      <c r="N9" s="420"/>
      <c r="O9" s="420"/>
      <c r="P9" s="152"/>
      <c r="Q9" s="152"/>
    </row>
    <row r="10" spans="2:17">
      <c r="B10" s="147"/>
      <c r="C10" s="154" t="s">
        <v>114</v>
      </c>
      <c r="D10" s="423">
        <v>1</v>
      </c>
      <c r="E10" s="423"/>
      <c r="F10" s="423"/>
      <c r="G10" s="423"/>
      <c r="H10" s="151"/>
      <c r="J10" s="152"/>
      <c r="K10" s="155"/>
      <c r="L10" s="420"/>
      <c r="M10" s="420"/>
      <c r="N10" s="420"/>
      <c r="O10" s="420"/>
      <c r="P10" s="152"/>
      <c r="Q10" s="152"/>
    </row>
    <row r="11" spans="2:17">
      <c r="B11" s="147"/>
      <c r="C11" s="154" t="s">
        <v>115</v>
      </c>
      <c r="D11" s="424">
        <f>F47</f>
        <v>0.37856666666666672</v>
      </c>
      <c r="E11" s="425"/>
      <c r="F11" s="425"/>
      <c r="G11" s="426"/>
      <c r="H11" s="151"/>
      <c r="J11" s="152"/>
      <c r="K11" s="155"/>
      <c r="L11" s="420"/>
      <c r="M11" s="420"/>
      <c r="N11" s="420"/>
      <c r="O11" s="420"/>
      <c r="P11" s="152"/>
      <c r="Q11" s="152"/>
    </row>
    <row r="12" spans="2:17">
      <c r="B12" s="147"/>
      <c r="C12" s="154" t="s">
        <v>126</v>
      </c>
      <c r="D12" s="424">
        <f>IFERROR(D9*D11,"nvt")</f>
        <v>0.12492700000000002</v>
      </c>
      <c r="E12" s="425"/>
      <c r="F12" s="425"/>
      <c r="G12" s="426"/>
      <c r="H12" s="151"/>
      <c r="J12" s="152"/>
      <c r="K12" s="155"/>
      <c r="L12" s="421"/>
      <c r="M12" s="421"/>
      <c r="N12" s="421"/>
      <c r="O12" s="421"/>
      <c r="P12" s="152"/>
      <c r="Q12" s="152"/>
    </row>
    <row r="13" spans="2:17">
      <c r="B13" s="147"/>
      <c r="C13" s="154" t="s">
        <v>290</v>
      </c>
      <c r="D13" s="424">
        <f>IFERROR(IF(D8&lt;2017,4,2021-D8)*D11,"nvt")</f>
        <v>1.5142666666666669</v>
      </c>
      <c r="E13" s="425"/>
      <c r="F13" s="425"/>
      <c r="G13" s="426"/>
      <c r="H13" s="151"/>
      <c r="J13" s="159"/>
      <c r="K13" s="155"/>
      <c r="L13" s="422"/>
      <c r="M13" s="422"/>
      <c r="N13" s="422"/>
      <c r="O13" s="422"/>
      <c r="P13" s="152"/>
      <c r="Q13" s="152"/>
    </row>
    <row r="14" spans="2:17">
      <c r="B14" s="147"/>
      <c r="C14" s="154" t="s">
        <v>127</v>
      </c>
      <c r="D14" s="424">
        <f>IFERROR(D13*D9,"nvt")</f>
        <v>0.4997080000000001</v>
      </c>
      <c r="E14" s="425"/>
      <c r="F14" s="425"/>
      <c r="G14" s="426"/>
      <c r="H14" s="151"/>
      <c r="J14" s="152"/>
      <c r="K14" s="152"/>
      <c r="L14" s="152"/>
      <c r="M14" s="152"/>
      <c r="N14" s="152"/>
      <c r="O14" s="152"/>
      <c r="P14" s="152"/>
      <c r="Q14" s="152"/>
    </row>
    <row r="15" spans="2:17" ht="15.75" thickBot="1">
      <c r="B15" s="160"/>
      <c r="C15" s="161"/>
      <c r="D15" s="162"/>
      <c r="E15" s="163"/>
      <c r="F15" s="163"/>
      <c r="G15" s="163"/>
      <c r="H15" s="164"/>
      <c r="J15" s="152"/>
      <c r="K15" s="152"/>
      <c r="L15" s="152"/>
      <c r="M15" s="152"/>
      <c r="N15" s="152"/>
      <c r="O15" s="152"/>
      <c r="P15" s="152"/>
      <c r="Q15" s="152"/>
    </row>
    <row r="16" spans="2:17" ht="15.75" thickBot="1">
      <c r="J16" s="152"/>
      <c r="K16" s="152"/>
      <c r="L16" s="152"/>
      <c r="M16" s="152"/>
      <c r="N16" s="152"/>
      <c r="O16" s="152"/>
      <c r="P16" s="152"/>
      <c r="Q16" s="152"/>
    </row>
    <row r="17" spans="2:17" ht="16.5">
      <c r="B17" s="168"/>
      <c r="C17" s="169"/>
      <c r="D17" s="169"/>
      <c r="E17" s="170"/>
      <c r="F17" s="171"/>
      <c r="G17" s="171"/>
      <c r="H17" s="172"/>
      <c r="J17" s="152"/>
      <c r="K17" s="152"/>
      <c r="L17" s="152"/>
      <c r="M17" s="152"/>
      <c r="N17" s="152"/>
      <c r="O17" s="152"/>
      <c r="P17" s="152"/>
      <c r="Q17" s="152"/>
    </row>
    <row r="18" spans="2:17" ht="50.25" customHeight="1">
      <c r="B18" s="173"/>
      <c r="C18" s="439" t="s">
        <v>83</v>
      </c>
      <c r="D18" s="440"/>
      <c r="E18" s="440"/>
      <c r="F18" s="440"/>
      <c r="G18" s="174"/>
      <c r="H18" s="175"/>
      <c r="J18" s="152"/>
      <c r="K18" s="152"/>
      <c r="L18" s="152"/>
      <c r="M18" s="152"/>
      <c r="N18" s="152"/>
      <c r="O18" s="152"/>
      <c r="P18" s="152"/>
      <c r="Q18" s="152"/>
    </row>
    <row r="19" spans="2:17" ht="94.9" customHeight="1">
      <c r="B19" s="173"/>
      <c r="C19" s="441" t="s">
        <v>294</v>
      </c>
      <c r="D19" s="442"/>
      <c r="E19" s="442"/>
      <c r="F19" s="442"/>
      <c r="G19" s="442"/>
      <c r="H19" s="175"/>
    </row>
    <row r="20" spans="2:17" ht="21.75" customHeight="1" thickBot="1">
      <c r="B20" s="173"/>
      <c r="C20" s="180" t="s">
        <v>129</v>
      </c>
      <c r="D20" s="181"/>
      <c r="E20" s="181"/>
      <c r="F20" s="181"/>
      <c r="G20" s="181"/>
      <c r="H20" s="175"/>
    </row>
    <row r="21" spans="2:17" ht="27.75" customHeight="1">
      <c r="B21" s="176"/>
      <c r="C21" s="182"/>
      <c r="D21" s="183" t="s">
        <v>118</v>
      </c>
      <c r="E21" s="183" t="s">
        <v>267</v>
      </c>
      <c r="F21" s="184" t="s">
        <v>0</v>
      </c>
      <c r="G21" s="185" t="s">
        <v>3</v>
      </c>
      <c r="H21" s="175"/>
    </row>
    <row r="22" spans="2:17" ht="15.75" customHeight="1">
      <c r="B22" s="176"/>
      <c r="C22" s="190" t="s">
        <v>84</v>
      </c>
      <c r="D22" s="433" t="s">
        <v>11</v>
      </c>
      <c r="E22" s="434"/>
      <c r="F22" s="188"/>
      <c r="G22" s="277"/>
      <c r="H22" s="175"/>
    </row>
    <row r="23" spans="2:17" ht="15.75" customHeight="1">
      <c r="B23" s="176"/>
      <c r="C23" s="190" t="s">
        <v>37</v>
      </c>
      <c r="D23" s="295">
        <v>10</v>
      </c>
      <c r="E23" s="295">
        <v>0</v>
      </c>
      <c r="F23" s="278" t="s">
        <v>52</v>
      </c>
      <c r="G23" s="279" t="s">
        <v>220</v>
      </c>
      <c r="H23" s="175"/>
    </row>
    <row r="24" spans="2:17" ht="15.75" customHeight="1">
      <c r="B24" s="176"/>
      <c r="C24" s="201" t="s">
        <v>23</v>
      </c>
      <c r="D24" s="275">
        <v>0</v>
      </c>
      <c r="E24" s="275">
        <v>10</v>
      </c>
      <c r="F24" s="198" t="s">
        <v>52</v>
      </c>
      <c r="G24" s="279" t="s">
        <v>220</v>
      </c>
      <c r="H24" s="175"/>
    </row>
    <row r="25" spans="2:17" ht="15.75" customHeight="1" thickBot="1">
      <c r="B25" s="176"/>
      <c r="C25" s="201" t="s">
        <v>107</v>
      </c>
      <c r="D25" s="275" t="s">
        <v>69</v>
      </c>
      <c r="E25" s="280">
        <f>IF(D25="verbranding in AVI",2,3)</f>
        <v>2</v>
      </c>
      <c r="F25" s="198"/>
      <c r="G25" s="279" t="s">
        <v>220</v>
      </c>
      <c r="H25" s="175"/>
    </row>
    <row r="26" spans="2:17" ht="28.5" customHeight="1">
      <c r="B26" s="176"/>
      <c r="C26" s="281" t="s">
        <v>108</v>
      </c>
      <c r="D26" s="453">
        <f>VLOOKUP(D22,'GER-waarden'!B59:D70,'Afdanking tbv recycling'!E25,TRUE)</f>
        <v>-16.3</v>
      </c>
      <c r="E26" s="453"/>
      <c r="F26" s="282" t="s">
        <v>1</v>
      </c>
      <c r="G26" s="283" t="s">
        <v>68</v>
      </c>
      <c r="H26" s="175"/>
      <c r="I26" s="204"/>
    </row>
    <row r="27" spans="2:17" ht="17.25" thickBot="1">
      <c r="B27" s="176"/>
      <c r="C27" s="284" t="s">
        <v>53</v>
      </c>
      <c r="D27" s="454">
        <f>VLOOKUP(D22,'GER-waarden'!$B$39:$C$45,2,TRUE)</f>
        <v>-54.156666666666673</v>
      </c>
      <c r="E27" s="454"/>
      <c r="F27" s="285" t="s">
        <v>1</v>
      </c>
      <c r="G27" s="286" t="s">
        <v>68</v>
      </c>
      <c r="H27" s="175"/>
    </row>
    <row r="28" spans="2:17" ht="16.5">
      <c r="B28" s="176"/>
      <c r="C28" s="212"/>
      <c r="D28" s="212"/>
      <c r="E28" s="212"/>
      <c r="F28" s="212"/>
      <c r="G28" s="212"/>
      <c r="H28" s="175"/>
    </row>
    <row r="29" spans="2:17" ht="17.25" thickBot="1">
      <c r="B29" s="176"/>
      <c r="C29" s="213" t="s">
        <v>130</v>
      </c>
      <c r="D29" s="214"/>
      <c r="E29" s="214"/>
      <c r="F29" s="215"/>
      <c r="G29" s="216"/>
      <c r="H29" s="175"/>
    </row>
    <row r="30" spans="2:17" ht="23.25" customHeight="1">
      <c r="B30" s="176"/>
      <c r="C30" s="217"/>
      <c r="D30" s="218" t="s">
        <v>118</v>
      </c>
      <c r="E30" s="218" t="s">
        <v>270</v>
      </c>
      <c r="F30" s="219" t="s">
        <v>0</v>
      </c>
      <c r="G30" s="220" t="s">
        <v>3</v>
      </c>
      <c r="H30" s="175"/>
    </row>
    <row r="31" spans="2:17" ht="14.25" customHeight="1">
      <c r="B31" s="176"/>
      <c r="C31" s="221" t="s">
        <v>133</v>
      </c>
      <c r="D31" s="296">
        <v>0</v>
      </c>
      <c r="E31" s="296">
        <v>0</v>
      </c>
      <c r="F31" s="287" t="s">
        <v>131</v>
      </c>
      <c r="G31" s="288" t="s">
        <v>220</v>
      </c>
      <c r="H31" s="175"/>
    </row>
    <row r="32" spans="2:17" ht="14.25" customHeight="1">
      <c r="B32" s="176"/>
      <c r="C32" s="289" t="s">
        <v>134</v>
      </c>
      <c r="D32" s="296">
        <v>0</v>
      </c>
      <c r="E32" s="296">
        <v>0</v>
      </c>
      <c r="F32" s="225" t="s">
        <v>132</v>
      </c>
      <c r="G32" s="288" t="s">
        <v>220</v>
      </c>
      <c r="H32" s="175"/>
    </row>
    <row r="33" spans="2:10" ht="14.25" customHeight="1">
      <c r="B33" s="176"/>
      <c r="C33" s="221" t="s">
        <v>79</v>
      </c>
      <c r="D33" s="455">
        <v>11.3</v>
      </c>
      <c r="E33" s="456"/>
      <c r="F33" s="290" t="s">
        <v>82</v>
      </c>
      <c r="G33" s="228" t="s">
        <v>68</v>
      </c>
      <c r="H33" s="175"/>
      <c r="J33" s="229"/>
    </row>
    <row r="34" spans="2:10" ht="14.25" customHeight="1">
      <c r="B34" s="176"/>
      <c r="C34" s="291" t="s">
        <v>80</v>
      </c>
      <c r="D34" s="457">
        <v>45.2</v>
      </c>
      <c r="E34" s="458"/>
      <c r="F34" s="292" t="s">
        <v>81</v>
      </c>
      <c r="G34" s="232" t="s">
        <v>68</v>
      </c>
      <c r="H34" s="175"/>
      <c r="J34" s="229"/>
    </row>
    <row r="35" spans="2:10" ht="16.5">
      <c r="B35" s="176"/>
      <c r="C35" s="233" t="s">
        <v>193</v>
      </c>
      <c r="D35" s="214"/>
      <c r="E35" s="214"/>
      <c r="F35" s="215"/>
      <c r="G35" s="216"/>
      <c r="H35" s="175"/>
    </row>
    <row r="36" spans="2:10" ht="17.25" customHeight="1">
      <c r="B36" s="176"/>
      <c r="C36" s="212"/>
      <c r="D36" s="234"/>
      <c r="E36" s="234"/>
      <c r="F36" s="234"/>
      <c r="G36" s="214"/>
      <c r="H36" s="175"/>
    </row>
    <row r="37" spans="2:10" ht="17.25" customHeight="1" thickBot="1">
      <c r="B37" s="176"/>
      <c r="C37" s="235" t="s">
        <v>75</v>
      </c>
      <c r="D37" s="234"/>
      <c r="E37" s="234"/>
      <c r="F37" s="234"/>
      <c r="G37" s="214"/>
      <c r="H37" s="175"/>
    </row>
    <row r="38" spans="2:10" ht="16.5">
      <c r="B38" s="176"/>
      <c r="C38" s="236" t="s">
        <v>257</v>
      </c>
      <c r="D38" s="237"/>
      <c r="E38" s="237"/>
      <c r="F38" s="238"/>
      <c r="G38" s="239"/>
      <c r="H38" s="175"/>
    </row>
    <row r="39" spans="2:10" ht="57" customHeight="1">
      <c r="B39" s="176"/>
      <c r="C39" s="443" t="s">
        <v>136</v>
      </c>
      <c r="D39" s="444"/>
      <c r="E39" s="444"/>
      <c r="F39" s="293">
        <f>IFERROR(D23*D26+D24*D27,"cementoven nvt")</f>
        <v>-163</v>
      </c>
      <c r="G39" s="248" t="s">
        <v>76</v>
      </c>
      <c r="H39" s="175"/>
    </row>
    <row r="40" spans="2:10" ht="33" customHeight="1" thickBot="1">
      <c r="B40" s="176"/>
      <c r="C40" s="451" t="s">
        <v>256</v>
      </c>
      <c r="D40" s="452"/>
      <c r="E40" s="452"/>
      <c r="F40" s="242">
        <f>((D31*D34)+(D32*D33))/1000</f>
        <v>0</v>
      </c>
      <c r="G40" s="243" t="s">
        <v>76</v>
      </c>
      <c r="H40" s="175"/>
      <c r="J40" s="244"/>
    </row>
    <row r="41" spans="2:10" ht="16.5">
      <c r="B41" s="176"/>
      <c r="C41" s="445" t="s">
        <v>283</v>
      </c>
      <c r="D41" s="446"/>
      <c r="E41" s="446"/>
      <c r="F41" s="245"/>
      <c r="G41" s="246"/>
      <c r="H41" s="175"/>
    </row>
    <row r="42" spans="2:10" ht="64.900000000000006" customHeight="1">
      <c r="B42" s="176"/>
      <c r="C42" s="443" t="s">
        <v>289</v>
      </c>
      <c r="D42" s="444"/>
      <c r="E42" s="444"/>
      <c r="F42" s="247">
        <f>IFERROR(E23*D26+E24*D27,"nvt")</f>
        <v>-541.56666666666672</v>
      </c>
      <c r="G42" s="248" t="s">
        <v>76</v>
      </c>
      <c r="H42" s="175"/>
    </row>
    <row r="43" spans="2:10" ht="45.6" customHeight="1" thickBot="1">
      <c r="B43" s="176"/>
      <c r="C43" s="451" t="s">
        <v>268</v>
      </c>
      <c r="D43" s="452"/>
      <c r="E43" s="452"/>
      <c r="F43" s="242">
        <f>((E32*D33)+(E31*D34))/1000</f>
        <v>0</v>
      </c>
      <c r="G43" s="243" t="s">
        <v>76</v>
      </c>
      <c r="H43" s="175"/>
    </row>
    <row r="44" spans="2:10" ht="16.5">
      <c r="B44" s="176"/>
      <c r="C44" s="249" t="s">
        <v>74</v>
      </c>
      <c r="D44" s="250"/>
      <c r="E44" s="250"/>
      <c r="F44" s="251"/>
      <c r="G44" s="252"/>
      <c r="H44" s="175"/>
    </row>
    <row r="45" spans="2:10" ht="37.5" customHeight="1" thickBot="1">
      <c r="B45" s="176"/>
      <c r="C45" s="447" t="s">
        <v>269</v>
      </c>
      <c r="D45" s="448"/>
      <c r="E45" s="294"/>
      <c r="F45" s="253">
        <f>IFERROR((F39+F40)-(F42+F43),"nvt")</f>
        <v>378.56666666666672</v>
      </c>
      <c r="G45" s="254" t="s">
        <v>76</v>
      </c>
      <c r="H45" s="175"/>
    </row>
    <row r="46" spans="2:10" ht="17.25" thickBot="1">
      <c r="B46" s="176"/>
      <c r="C46" s="212"/>
      <c r="D46" s="214"/>
      <c r="E46" s="214"/>
      <c r="F46" s="255"/>
      <c r="G46" s="214"/>
      <c r="H46" s="175"/>
    </row>
    <row r="47" spans="2:10" ht="18" customHeight="1" thickBot="1">
      <c r="B47" s="176"/>
      <c r="C47" s="256" t="s">
        <v>258</v>
      </c>
      <c r="D47" s="214"/>
      <c r="E47" s="257"/>
      <c r="F47" s="258">
        <f>IFERROR(F45/1000,"nvt")</f>
        <v>0.37856666666666672</v>
      </c>
      <c r="G47" s="259" t="s">
        <v>77</v>
      </c>
      <c r="H47" s="175"/>
    </row>
    <row r="48" spans="2:10" ht="16.5">
      <c r="B48" s="176"/>
      <c r="C48" s="212"/>
      <c r="D48" s="260"/>
      <c r="E48" s="449"/>
      <c r="F48" s="450"/>
      <c r="G48" s="450"/>
      <c r="H48" s="175"/>
    </row>
    <row r="49" spans="2:10" ht="18" customHeight="1">
      <c r="B49" s="176"/>
      <c r="C49" s="261" t="s">
        <v>128</v>
      </c>
      <c r="D49" s="262"/>
      <c r="E49" s="263"/>
      <c r="F49" s="262"/>
      <c r="G49" s="264"/>
      <c r="H49" s="175"/>
    </row>
    <row r="50" spans="2:10" ht="51.75" customHeight="1">
      <c r="B50" s="176"/>
      <c r="C50" s="438" t="s">
        <v>78</v>
      </c>
      <c r="D50" s="436"/>
      <c r="E50" s="436"/>
      <c r="F50" s="436"/>
      <c r="G50" s="437"/>
      <c r="H50" s="175"/>
    </row>
    <row r="51" spans="2:10" ht="16.5">
      <c r="B51" s="176"/>
      <c r="C51" s="265"/>
      <c r="D51" s="266"/>
      <c r="E51" s="266"/>
      <c r="F51" s="266"/>
      <c r="G51" s="266"/>
      <c r="H51" s="175"/>
    </row>
    <row r="52" spans="2:10" ht="16.5">
      <c r="B52" s="176"/>
      <c r="C52" s="261" t="s">
        <v>135</v>
      </c>
      <c r="D52" s="262"/>
      <c r="E52" s="267"/>
      <c r="F52" s="268"/>
      <c r="G52" s="262"/>
      <c r="H52" s="175"/>
    </row>
    <row r="53" spans="2:10" ht="91.5" customHeight="1">
      <c r="B53" s="269"/>
      <c r="C53" s="435" t="s">
        <v>137</v>
      </c>
      <c r="D53" s="436"/>
      <c r="E53" s="436"/>
      <c r="F53" s="436"/>
      <c r="G53" s="437"/>
      <c r="H53" s="175"/>
      <c r="J53" s="270"/>
    </row>
    <row r="54" spans="2:10" ht="15" customHeight="1" thickBot="1">
      <c r="B54" s="271"/>
      <c r="C54" s="272"/>
      <c r="D54" s="272"/>
      <c r="E54" s="272"/>
      <c r="F54" s="272"/>
      <c r="G54" s="272"/>
      <c r="H54" s="273"/>
    </row>
    <row r="55" spans="2:10" ht="15" customHeight="1"/>
    <row r="56" spans="2:10" ht="27.75" customHeight="1"/>
    <row r="59" spans="2:10" ht="37.5" customHeight="1"/>
  </sheetData>
  <protectedRanges>
    <protectedRange sqref="D23:E27" name="Bereik1"/>
  </protectedRanges>
  <mergeCells count="33">
    <mergeCell ref="D22:E22"/>
    <mergeCell ref="C53:G53"/>
    <mergeCell ref="C50:G50"/>
    <mergeCell ref="C18:F18"/>
    <mergeCell ref="C19:G19"/>
    <mergeCell ref="C39:E39"/>
    <mergeCell ref="C41:E41"/>
    <mergeCell ref="C42:E42"/>
    <mergeCell ref="C45:D45"/>
    <mergeCell ref="E48:G48"/>
    <mergeCell ref="C40:E40"/>
    <mergeCell ref="C43:E43"/>
    <mergeCell ref="D26:E26"/>
    <mergeCell ref="D27:E27"/>
    <mergeCell ref="D33:E33"/>
    <mergeCell ref="D34:E34"/>
    <mergeCell ref="D14:G14"/>
    <mergeCell ref="D4:G4"/>
    <mergeCell ref="D5:G5"/>
    <mergeCell ref="D6:G6"/>
    <mergeCell ref="D8:G8"/>
    <mergeCell ref="D9:G9"/>
    <mergeCell ref="L12:O12"/>
    <mergeCell ref="L13:O13"/>
    <mergeCell ref="D10:G10"/>
    <mergeCell ref="D11:G11"/>
    <mergeCell ref="D12:G12"/>
    <mergeCell ref="D13:G13"/>
    <mergeCell ref="L5:O5"/>
    <mergeCell ref="L6:O6"/>
    <mergeCell ref="L9:O9"/>
    <mergeCell ref="L10:O10"/>
    <mergeCell ref="L11:O11"/>
  </mergeCells>
  <phoneticPr fontId="0" type="noConversion"/>
  <dataValidations count="1">
    <dataValidation type="list" allowBlank="1" showInputMessage="1" showErrorMessage="1" sqref="L6:O8">
      <formula1>$J$6:$J$13</formula1>
    </dataValidation>
  </dataValidations>
  <pageMargins left="0.7" right="0.7" top="0.75" bottom="0.75" header="0.3" footer="0.3"/>
  <pageSetup paperSize="9" scale="58"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'GER-waarden'!$E$137:$E$138</xm:f>
          </x14:formula1>
          <xm:sqref>D25</xm:sqref>
        </x14:dataValidation>
        <x14:dataValidation type="list" allowBlank="1" showInputMessage="1">
          <x14:formula1>
            <xm:f>'GER-waarden'!$B$112:$B$119</xm:f>
          </x14:formula1>
          <xm:sqref>D22:E22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rgb="FF92D050"/>
    <pageSetUpPr fitToPage="1"/>
  </sheetPr>
  <dimension ref="A1:R92"/>
  <sheetViews>
    <sheetView workbookViewId="0"/>
  </sheetViews>
  <sheetFormatPr defaultColWidth="8.85546875" defaultRowHeight="15"/>
  <cols>
    <col min="1" max="2" width="3.7109375" style="142" customWidth="1"/>
    <col min="3" max="3" width="38.7109375" style="142" customWidth="1"/>
    <col min="4" max="4" width="22.28515625" style="142" customWidth="1"/>
    <col min="5" max="5" width="20.28515625" style="142" customWidth="1"/>
    <col min="6" max="6" width="16.140625" style="142" customWidth="1"/>
    <col min="7" max="7" width="23.85546875" style="142" customWidth="1"/>
    <col min="8" max="8" width="3.7109375" style="142" customWidth="1"/>
    <col min="9" max="16384" width="8.85546875" style="142"/>
  </cols>
  <sheetData>
    <row r="1" spans="1:17" ht="15.75" thickBot="1"/>
    <row r="2" spans="1:17">
      <c r="B2" s="143"/>
      <c r="C2" s="144"/>
      <c r="D2" s="144"/>
      <c r="E2" s="145"/>
      <c r="F2" s="145"/>
      <c r="G2" s="145"/>
      <c r="H2" s="146"/>
    </row>
    <row r="3" spans="1:17">
      <c r="B3" s="147"/>
      <c r="C3" s="148" t="s">
        <v>125</v>
      </c>
      <c r="D3" s="149"/>
      <c r="E3" s="150"/>
      <c r="F3" s="149"/>
      <c r="G3" s="149"/>
      <c r="H3" s="151"/>
      <c r="J3" s="152"/>
      <c r="K3" s="152"/>
      <c r="L3" s="152"/>
      <c r="M3" s="152"/>
      <c r="N3" s="152"/>
      <c r="O3" s="152"/>
      <c r="P3" s="152"/>
      <c r="Q3" s="152"/>
    </row>
    <row r="4" spans="1:17">
      <c r="B4" s="147"/>
      <c r="C4" s="153" t="s">
        <v>109</v>
      </c>
      <c r="D4" s="427" t="s">
        <v>304</v>
      </c>
      <c r="E4" s="427"/>
      <c r="F4" s="427"/>
      <c r="G4" s="427"/>
      <c r="H4" s="151"/>
      <c r="J4" s="152"/>
      <c r="K4" s="152"/>
      <c r="L4" s="152"/>
      <c r="M4" s="152"/>
      <c r="N4" s="152"/>
      <c r="O4" s="152"/>
      <c r="P4" s="152"/>
      <c r="Q4" s="152"/>
    </row>
    <row r="5" spans="1:17">
      <c r="B5" s="147"/>
      <c r="C5" s="154" t="s">
        <v>110</v>
      </c>
      <c r="D5" s="428" t="s">
        <v>111</v>
      </c>
      <c r="E5" s="428"/>
      <c r="F5" s="428"/>
      <c r="G5" s="428"/>
      <c r="H5" s="151"/>
      <c r="J5" s="152"/>
      <c r="K5" s="155"/>
      <c r="L5" s="419"/>
      <c r="M5" s="419"/>
      <c r="N5" s="419"/>
      <c r="O5" s="419"/>
      <c r="P5" s="152"/>
      <c r="Q5" s="152"/>
    </row>
    <row r="6" spans="1:17">
      <c r="B6" s="147"/>
      <c r="C6" s="154" t="s">
        <v>112</v>
      </c>
      <c r="D6" s="429" t="s">
        <v>124</v>
      </c>
      <c r="E6" s="425"/>
      <c r="F6" s="425"/>
      <c r="G6" s="426"/>
      <c r="H6" s="151"/>
      <c r="J6" s="152"/>
      <c r="K6" s="155"/>
      <c r="L6" s="419"/>
      <c r="M6" s="419"/>
      <c r="N6" s="419"/>
      <c r="O6" s="419"/>
      <c r="P6" s="152"/>
      <c r="Q6" s="152"/>
    </row>
    <row r="7" spans="1:17">
      <c r="B7" s="147"/>
      <c r="C7" s="154" t="s">
        <v>120</v>
      </c>
      <c r="D7" s="156" t="s">
        <v>138</v>
      </c>
      <c r="E7" s="157"/>
      <c r="F7" s="157"/>
      <c r="G7" s="158"/>
      <c r="H7" s="151"/>
      <c r="J7" s="152"/>
      <c r="K7" s="155"/>
      <c r="L7" s="155"/>
      <c r="M7" s="155"/>
      <c r="N7" s="155"/>
      <c r="O7" s="155"/>
      <c r="P7" s="152"/>
      <c r="Q7" s="152"/>
    </row>
    <row r="8" spans="1:17">
      <c r="B8" s="147"/>
      <c r="C8" s="154" t="s">
        <v>385</v>
      </c>
      <c r="D8" s="430">
        <v>2017</v>
      </c>
      <c r="E8" s="431"/>
      <c r="F8" s="431"/>
      <c r="G8" s="432"/>
      <c r="H8" s="151"/>
      <c r="J8" s="152"/>
      <c r="K8" s="155"/>
      <c r="L8" s="155"/>
      <c r="M8" s="155"/>
      <c r="N8" s="155"/>
      <c r="O8" s="155"/>
      <c r="P8" s="152"/>
      <c r="Q8" s="152"/>
    </row>
    <row r="9" spans="1:17">
      <c r="B9" s="147"/>
      <c r="C9" s="154" t="s">
        <v>113</v>
      </c>
      <c r="D9" s="423">
        <v>0.33</v>
      </c>
      <c r="E9" s="423"/>
      <c r="F9" s="423"/>
      <c r="G9" s="423"/>
      <c r="H9" s="151"/>
      <c r="J9" s="152"/>
      <c r="K9" s="155"/>
      <c r="L9" s="420"/>
      <c r="M9" s="420"/>
      <c r="N9" s="420"/>
      <c r="O9" s="420"/>
      <c r="P9" s="152"/>
      <c r="Q9" s="152"/>
    </row>
    <row r="10" spans="1:17">
      <c r="B10" s="147"/>
      <c r="C10" s="154" t="s">
        <v>114</v>
      </c>
      <c r="D10" s="423">
        <v>1</v>
      </c>
      <c r="E10" s="423"/>
      <c r="F10" s="423"/>
      <c r="G10" s="423"/>
      <c r="H10" s="151"/>
      <c r="J10" s="152"/>
      <c r="K10" s="155"/>
      <c r="L10" s="420"/>
      <c r="M10" s="420"/>
      <c r="N10" s="420"/>
      <c r="O10" s="420"/>
      <c r="P10" s="152"/>
      <c r="Q10" s="152"/>
    </row>
    <row r="11" spans="1:17">
      <c r="B11" s="147"/>
      <c r="C11" s="154" t="s">
        <v>115</v>
      </c>
      <c r="D11" s="424">
        <f>F54</f>
        <v>18.326666666666657</v>
      </c>
      <c r="E11" s="425"/>
      <c r="F11" s="425"/>
      <c r="G11" s="426"/>
      <c r="H11" s="151"/>
      <c r="J11" s="152"/>
      <c r="K11" s="155"/>
      <c r="L11" s="420"/>
      <c r="M11" s="420"/>
      <c r="N11" s="420"/>
      <c r="O11" s="420"/>
      <c r="P11" s="152"/>
      <c r="Q11" s="152"/>
    </row>
    <row r="12" spans="1:17">
      <c r="B12" s="147"/>
      <c r="C12" s="154" t="s">
        <v>126</v>
      </c>
      <c r="D12" s="424">
        <f>IFERROR(D9*D11,"nvt")</f>
        <v>6.047799999999997</v>
      </c>
      <c r="E12" s="425"/>
      <c r="F12" s="425"/>
      <c r="G12" s="426"/>
      <c r="H12" s="151"/>
      <c r="J12" s="152"/>
      <c r="K12" s="155"/>
      <c r="L12" s="421"/>
      <c r="M12" s="421"/>
      <c r="N12" s="421"/>
      <c r="O12" s="421"/>
      <c r="P12" s="152"/>
      <c r="Q12" s="152"/>
    </row>
    <row r="13" spans="1:17">
      <c r="B13" s="147"/>
      <c r="C13" s="154" t="s">
        <v>293</v>
      </c>
      <c r="D13" s="424">
        <f>IFERROR((IF(D8&lt;2017,4,2021-D8))*D11,"nvt")</f>
        <v>73.306666666666629</v>
      </c>
      <c r="E13" s="425"/>
      <c r="F13" s="425"/>
      <c r="G13" s="426"/>
      <c r="H13" s="151"/>
      <c r="J13" s="159"/>
      <c r="K13" s="155"/>
      <c r="L13" s="422"/>
      <c r="M13" s="422"/>
      <c r="N13" s="422"/>
      <c r="O13" s="422"/>
      <c r="P13" s="152"/>
      <c r="Q13" s="152"/>
    </row>
    <row r="14" spans="1:17">
      <c r="B14" s="147"/>
      <c r="C14" s="154" t="s">
        <v>127</v>
      </c>
      <c r="D14" s="424">
        <f>IFERROR(D13*D9,"nvt")</f>
        <v>24.191199999999988</v>
      </c>
      <c r="E14" s="425"/>
      <c r="F14" s="425"/>
      <c r="G14" s="426"/>
      <c r="H14" s="151"/>
      <c r="J14" s="152"/>
      <c r="K14" s="152"/>
      <c r="L14" s="152"/>
      <c r="M14" s="152"/>
      <c r="N14" s="152"/>
      <c r="O14" s="152"/>
      <c r="P14" s="152"/>
      <c r="Q14" s="152"/>
    </row>
    <row r="15" spans="1:17" ht="15.75" thickBot="1">
      <c r="B15" s="160"/>
      <c r="C15" s="161"/>
      <c r="D15" s="162"/>
      <c r="E15" s="163"/>
      <c r="F15" s="163"/>
      <c r="G15" s="163"/>
      <c r="H15" s="164"/>
      <c r="J15" s="152"/>
      <c r="K15" s="152"/>
      <c r="L15" s="152"/>
      <c r="M15" s="152"/>
      <c r="N15" s="152"/>
      <c r="O15" s="152"/>
      <c r="P15" s="152"/>
      <c r="Q15" s="152"/>
    </row>
    <row r="16" spans="1:17" ht="15.75" thickBot="1">
      <c r="A16" s="152"/>
      <c r="B16" s="155"/>
      <c r="C16" s="165"/>
      <c r="D16" s="166"/>
      <c r="E16" s="167"/>
      <c r="F16" s="167"/>
      <c r="G16" s="167"/>
      <c r="H16" s="165"/>
      <c r="I16" s="152"/>
      <c r="J16" s="152"/>
      <c r="K16" s="152"/>
      <c r="L16" s="152"/>
      <c r="M16" s="152"/>
      <c r="N16" s="152"/>
      <c r="O16" s="152"/>
      <c r="P16" s="152"/>
      <c r="Q16" s="152"/>
    </row>
    <row r="17" spans="2:17" ht="16.5">
      <c r="B17" s="168"/>
      <c r="C17" s="169"/>
      <c r="D17" s="169"/>
      <c r="E17" s="170"/>
      <c r="F17" s="171"/>
      <c r="G17" s="171"/>
      <c r="H17" s="172"/>
    </row>
    <row r="18" spans="2:17" ht="47.25" customHeight="1">
      <c r="B18" s="173"/>
      <c r="C18" s="464" t="s">
        <v>122</v>
      </c>
      <c r="D18" s="464"/>
      <c r="E18" s="464"/>
      <c r="F18" s="464"/>
      <c r="G18" s="174"/>
      <c r="H18" s="175"/>
    </row>
    <row r="19" spans="2:17" ht="141.75" customHeight="1">
      <c r="B19" s="173"/>
      <c r="C19" s="465" t="s">
        <v>295</v>
      </c>
      <c r="D19" s="465"/>
      <c r="E19" s="465"/>
      <c r="F19" s="465"/>
      <c r="G19" s="465"/>
      <c r="H19" s="175"/>
    </row>
    <row r="20" spans="2:17" ht="16.5">
      <c r="B20" s="176"/>
      <c r="C20" s="177"/>
      <c r="D20" s="178"/>
      <c r="E20" s="179"/>
      <c r="F20" s="179"/>
      <c r="G20" s="179"/>
      <c r="H20" s="151"/>
      <c r="J20" s="152"/>
      <c r="K20" s="152"/>
      <c r="L20" s="152"/>
      <c r="M20" s="152"/>
      <c r="N20" s="152"/>
      <c r="O20" s="152"/>
      <c r="P20" s="152"/>
      <c r="Q20" s="152"/>
    </row>
    <row r="21" spans="2:17" ht="21.75" customHeight="1" thickBot="1">
      <c r="B21" s="173"/>
      <c r="C21" s="180" t="s">
        <v>129</v>
      </c>
      <c r="D21" s="181"/>
      <c r="E21" s="181"/>
      <c r="F21" s="181"/>
      <c r="G21" s="181"/>
      <c r="H21" s="175"/>
    </row>
    <row r="22" spans="2:17" ht="27.75" customHeight="1">
      <c r="B22" s="176"/>
      <c r="C22" s="182"/>
      <c r="D22" s="183" t="s">
        <v>118</v>
      </c>
      <c r="E22" s="183" t="s">
        <v>267</v>
      </c>
      <c r="F22" s="184" t="s">
        <v>0</v>
      </c>
      <c r="G22" s="185" t="s">
        <v>3</v>
      </c>
      <c r="H22" s="175"/>
    </row>
    <row r="23" spans="2:17" ht="16.5">
      <c r="B23" s="186"/>
      <c r="C23" s="187" t="s">
        <v>144</v>
      </c>
      <c r="D23" s="433" t="s">
        <v>11</v>
      </c>
      <c r="E23" s="434"/>
      <c r="F23" s="188"/>
      <c r="G23" s="189" t="s">
        <v>220</v>
      </c>
      <c r="H23" s="175"/>
    </row>
    <row r="24" spans="2:17" ht="30">
      <c r="B24" s="176"/>
      <c r="C24" s="190" t="s">
        <v>156</v>
      </c>
      <c r="D24" s="274">
        <v>1500</v>
      </c>
      <c r="E24" s="274">
        <v>1600</v>
      </c>
      <c r="F24" s="191" t="s">
        <v>52</v>
      </c>
      <c r="G24" s="192" t="s">
        <v>220</v>
      </c>
      <c r="H24" s="175"/>
    </row>
    <row r="25" spans="2:17" ht="30">
      <c r="B25" s="176"/>
      <c r="C25" s="193" t="s">
        <v>145</v>
      </c>
      <c r="D25" s="275" t="s">
        <v>140</v>
      </c>
      <c r="E25" s="194"/>
      <c r="F25" s="195"/>
      <c r="G25" s="189" t="s">
        <v>220</v>
      </c>
      <c r="H25" s="175"/>
    </row>
    <row r="26" spans="2:17" ht="16.5">
      <c r="B26" s="186"/>
      <c r="C26" s="196" t="s">
        <v>146</v>
      </c>
      <c r="D26" s="433" t="s">
        <v>14</v>
      </c>
      <c r="E26" s="434"/>
      <c r="F26" s="188"/>
      <c r="G26" s="192" t="s">
        <v>220</v>
      </c>
      <c r="H26" s="175"/>
    </row>
    <row r="27" spans="2:17" ht="30" customHeight="1">
      <c r="B27" s="176"/>
      <c r="C27" s="197" t="s">
        <v>147</v>
      </c>
      <c r="D27" s="276">
        <v>1000</v>
      </c>
      <c r="E27" s="276">
        <v>1200</v>
      </c>
      <c r="F27" s="198" t="s">
        <v>52</v>
      </c>
      <c r="G27" s="192" t="s">
        <v>220</v>
      </c>
      <c r="H27" s="175"/>
    </row>
    <row r="28" spans="2:17" ht="45">
      <c r="B28" s="176"/>
      <c r="C28" s="193" t="s">
        <v>145</v>
      </c>
      <c r="D28" s="199" t="s">
        <v>69</v>
      </c>
      <c r="E28" s="200"/>
      <c r="F28" s="194"/>
      <c r="G28" s="192" t="s">
        <v>292</v>
      </c>
      <c r="H28" s="175"/>
    </row>
    <row r="29" spans="2:17" ht="28.5" customHeight="1">
      <c r="B29" s="176"/>
      <c r="C29" s="201" t="s">
        <v>148</v>
      </c>
      <c r="D29" s="460">
        <f>VLOOKUP(D23,'GER-waarden'!B6:C25,2,FALSE)</f>
        <v>75.099999999999994</v>
      </c>
      <c r="E29" s="460"/>
      <c r="F29" s="202" t="s">
        <v>1</v>
      </c>
      <c r="G29" s="203" t="s">
        <v>68</v>
      </c>
      <c r="H29" s="175"/>
      <c r="I29" s="204"/>
    </row>
    <row r="30" spans="2:17" ht="28.5" customHeight="1">
      <c r="B30" s="176"/>
      <c r="C30" s="205" t="s">
        <v>149</v>
      </c>
      <c r="D30" s="472">
        <f>VLOOKUP(D26,'GER-waarden'!B6:C25,2,FALSE)</f>
        <v>89.6</v>
      </c>
      <c r="E30" s="472"/>
      <c r="F30" s="202" t="s">
        <v>1</v>
      </c>
      <c r="G30" s="206" t="s">
        <v>68</v>
      </c>
      <c r="H30" s="175"/>
      <c r="I30" s="204"/>
    </row>
    <row r="31" spans="2:17" ht="28.5" customHeight="1">
      <c r="B31" s="176"/>
      <c r="C31" s="205" t="s">
        <v>150</v>
      </c>
      <c r="D31" s="459">
        <f>VLOOKUP(D23,'GER-waarden'!B28:E35,2,TRUE)</f>
        <v>13.433333333333332</v>
      </c>
      <c r="E31" s="459"/>
      <c r="F31" s="202" t="s">
        <v>1</v>
      </c>
      <c r="G31" s="206" t="s">
        <v>68</v>
      </c>
      <c r="H31" s="175"/>
      <c r="I31" s="204"/>
    </row>
    <row r="32" spans="2:17" ht="28.5" customHeight="1">
      <c r="B32" s="176"/>
      <c r="C32" s="207" t="s">
        <v>151</v>
      </c>
      <c r="D32" s="461">
        <f>VLOOKUP(D26,'GER-waarden'!B28:E35,2,TRUE)</f>
        <v>12.5</v>
      </c>
      <c r="E32" s="461"/>
      <c r="F32" s="202" t="s">
        <v>1</v>
      </c>
      <c r="G32" s="206" t="s">
        <v>68</v>
      </c>
      <c r="H32" s="175"/>
      <c r="I32" s="204"/>
    </row>
    <row r="33" spans="2:18" ht="28.5" customHeight="1">
      <c r="B33" s="176"/>
      <c r="C33" s="208" t="s">
        <v>152</v>
      </c>
      <c r="D33" s="462">
        <f>(IF(D25="Recyclen bij andere verwerker",0,VLOOKUP(D23,'GER-waarden'!B58:D70,(IF(D25="Verbranding in AVI",2,3)),TRUE)))</f>
        <v>0</v>
      </c>
      <c r="E33" s="462"/>
      <c r="F33" s="202" t="s">
        <v>1</v>
      </c>
      <c r="G33" s="206" t="s">
        <v>68</v>
      </c>
      <c r="H33" s="175"/>
      <c r="I33" s="204"/>
    </row>
    <row r="34" spans="2:18" ht="30.75" thickBot="1">
      <c r="B34" s="176"/>
      <c r="C34" s="209" t="s">
        <v>153</v>
      </c>
      <c r="D34" s="463">
        <f>(IF(D28="Recyclen bij andere verwerker",0,VLOOKUP(D26,'GER-waarden'!B58:D70,(IF(D28="Verbranding in AVI",2,3)),TRUE)))</f>
        <v>-16.3</v>
      </c>
      <c r="E34" s="463"/>
      <c r="F34" s="210" t="s">
        <v>1</v>
      </c>
      <c r="G34" s="211" t="s">
        <v>68</v>
      </c>
      <c r="H34" s="175"/>
    </row>
    <row r="35" spans="2:18" ht="16.5">
      <c r="B35" s="176"/>
      <c r="C35" s="212"/>
      <c r="D35" s="212"/>
      <c r="E35" s="212"/>
      <c r="F35" s="212"/>
      <c r="G35" s="212"/>
      <c r="H35" s="175"/>
    </row>
    <row r="36" spans="2:18" ht="17.25" thickBot="1">
      <c r="B36" s="176"/>
      <c r="C36" s="213" t="s">
        <v>130</v>
      </c>
      <c r="D36" s="214"/>
      <c r="E36" s="214"/>
      <c r="F36" s="215"/>
      <c r="G36" s="216"/>
      <c r="H36" s="175"/>
    </row>
    <row r="37" spans="2:18" ht="23.25" customHeight="1">
      <c r="B37" s="176"/>
      <c r="C37" s="217"/>
      <c r="D37" s="218" t="s">
        <v>118</v>
      </c>
      <c r="E37" s="218" t="s">
        <v>270</v>
      </c>
      <c r="F37" s="219" t="s">
        <v>0</v>
      </c>
      <c r="G37" s="220" t="s">
        <v>3</v>
      </c>
      <c r="H37" s="175"/>
    </row>
    <row r="38" spans="2:18" ht="14.25" customHeight="1">
      <c r="B38" s="176"/>
      <c r="C38" s="221" t="s">
        <v>133</v>
      </c>
      <c r="D38" s="141">
        <v>100</v>
      </c>
      <c r="E38" s="141">
        <v>100</v>
      </c>
      <c r="F38" s="222" t="s">
        <v>131</v>
      </c>
      <c r="G38" s="223" t="s">
        <v>220</v>
      </c>
      <c r="H38" s="175"/>
    </row>
    <row r="39" spans="2:18" ht="14.25" customHeight="1">
      <c r="B39" s="176"/>
      <c r="C39" s="224" t="s">
        <v>134</v>
      </c>
      <c r="D39" s="141">
        <v>3000</v>
      </c>
      <c r="E39" s="141">
        <v>3000</v>
      </c>
      <c r="F39" s="225" t="s">
        <v>132</v>
      </c>
      <c r="G39" s="203" t="s">
        <v>220</v>
      </c>
      <c r="H39" s="175"/>
    </row>
    <row r="40" spans="2:18" ht="14.25" customHeight="1">
      <c r="B40" s="176"/>
      <c r="C40" s="226" t="s">
        <v>79</v>
      </c>
      <c r="D40" s="473">
        <v>11.3</v>
      </c>
      <c r="E40" s="474"/>
      <c r="F40" s="227" t="s">
        <v>82</v>
      </c>
      <c r="G40" s="228" t="s">
        <v>68</v>
      </c>
      <c r="H40" s="175"/>
      <c r="J40" s="229"/>
    </row>
    <row r="41" spans="2:18" ht="14.25" customHeight="1">
      <c r="B41" s="176"/>
      <c r="C41" s="230" t="s">
        <v>80</v>
      </c>
      <c r="D41" s="475">
        <v>45.2</v>
      </c>
      <c r="E41" s="476"/>
      <c r="F41" s="231" t="s">
        <v>81</v>
      </c>
      <c r="G41" s="232" t="s">
        <v>68</v>
      </c>
      <c r="H41" s="175"/>
      <c r="J41" s="229"/>
    </row>
    <row r="42" spans="2:18" ht="16.5">
      <c r="B42" s="176"/>
      <c r="C42" s="233" t="s">
        <v>193</v>
      </c>
      <c r="D42" s="214"/>
      <c r="E42" s="214"/>
      <c r="F42" s="215"/>
      <c r="G42" s="216"/>
      <c r="H42" s="175"/>
    </row>
    <row r="43" spans="2:18" ht="17.25" customHeight="1">
      <c r="B43" s="176"/>
      <c r="C43" s="212"/>
      <c r="D43" s="234"/>
      <c r="E43" s="234"/>
      <c r="F43" s="234"/>
      <c r="G43" s="214"/>
      <c r="H43" s="175"/>
    </row>
    <row r="44" spans="2:18" ht="17.25" customHeight="1" thickBot="1">
      <c r="B44" s="176"/>
      <c r="C44" s="235" t="s">
        <v>75</v>
      </c>
      <c r="D44" s="234"/>
      <c r="E44" s="234"/>
      <c r="F44" s="234"/>
      <c r="G44" s="214"/>
      <c r="H44" s="175"/>
    </row>
    <row r="45" spans="2:18" ht="16.5">
      <c r="B45" s="176"/>
      <c r="C45" s="236" t="s">
        <v>260</v>
      </c>
      <c r="D45" s="237"/>
      <c r="E45" s="237"/>
      <c r="F45" s="238"/>
      <c r="G45" s="239"/>
      <c r="H45" s="175"/>
    </row>
    <row r="46" spans="2:18" ht="78" customHeight="1">
      <c r="B46" s="176"/>
      <c r="C46" s="468" t="s">
        <v>154</v>
      </c>
      <c r="D46" s="469"/>
      <c r="E46" s="469"/>
      <c r="F46" s="240">
        <f>IFERROR(D24*(D29-D31)+D27*(D30-D32)+(D24*D33)+(D27*D34),"nvt")</f>
        <v>153300</v>
      </c>
      <c r="G46" s="241" t="s">
        <v>76</v>
      </c>
      <c r="H46" s="175"/>
    </row>
    <row r="47" spans="2:18" ht="33" customHeight="1" thickBot="1">
      <c r="B47" s="176"/>
      <c r="C47" s="470" t="s">
        <v>256</v>
      </c>
      <c r="D47" s="471"/>
      <c r="E47" s="471"/>
      <c r="F47" s="242">
        <f>((D38*D41)+(D39*D40))/1000</f>
        <v>38.42</v>
      </c>
      <c r="G47" s="243" t="s">
        <v>76</v>
      </c>
      <c r="H47" s="175"/>
      <c r="J47" s="244"/>
    </row>
    <row r="48" spans="2:18" ht="16.5">
      <c r="B48" s="176"/>
      <c r="C48" s="445" t="s">
        <v>282</v>
      </c>
      <c r="D48" s="446"/>
      <c r="E48" s="446"/>
      <c r="F48" s="245"/>
      <c r="G48" s="246"/>
      <c r="H48" s="175"/>
      <c r="R48" s="204"/>
    </row>
    <row r="49" spans="1:10" ht="77.25" customHeight="1">
      <c r="B49" s="176"/>
      <c r="C49" s="443" t="s">
        <v>271</v>
      </c>
      <c r="D49" s="444"/>
      <c r="E49" s="444"/>
      <c r="F49" s="247">
        <f>IFERROR(E24*(D29-D31)+E27*(D30-D32)+(E24*D33)+(E27*D34),"nvt")</f>
        <v>171626.66666666666</v>
      </c>
      <c r="G49" s="248" t="s">
        <v>76</v>
      </c>
      <c r="H49" s="175"/>
    </row>
    <row r="50" spans="1:10" ht="45.6" customHeight="1" thickBot="1">
      <c r="B50" s="176"/>
      <c r="C50" s="451" t="s">
        <v>268</v>
      </c>
      <c r="D50" s="452"/>
      <c r="E50" s="452"/>
      <c r="F50" s="242">
        <f>((E39*D40)+(E38*D41))/1000</f>
        <v>38.42</v>
      </c>
      <c r="G50" s="243" t="s">
        <v>76</v>
      </c>
      <c r="H50" s="175"/>
    </row>
    <row r="51" spans="1:10" ht="16.5">
      <c r="B51" s="176"/>
      <c r="C51" s="249" t="s">
        <v>74</v>
      </c>
      <c r="D51" s="250"/>
      <c r="E51" s="250"/>
      <c r="F51" s="251"/>
      <c r="G51" s="252"/>
      <c r="H51" s="175"/>
    </row>
    <row r="52" spans="1:10" ht="44.45" customHeight="1" thickBot="1">
      <c r="B52" s="176"/>
      <c r="C52" s="466" t="s">
        <v>269</v>
      </c>
      <c r="D52" s="467"/>
      <c r="E52" s="467"/>
      <c r="F52" s="253">
        <f>IFERROR((F49-F50)-(F46-F47),"nvt")</f>
        <v>18326.666666666657</v>
      </c>
      <c r="G52" s="254" t="s">
        <v>76</v>
      </c>
      <c r="H52" s="175"/>
    </row>
    <row r="53" spans="1:10" ht="17.25" thickBot="1">
      <c r="B53" s="176"/>
      <c r="C53" s="212"/>
      <c r="D53" s="214"/>
      <c r="E53" s="214"/>
      <c r="F53" s="255"/>
      <c r="G53" s="214"/>
      <c r="H53" s="175"/>
    </row>
    <row r="54" spans="1:10" ht="18" customHeight="1" thickBot="1">
      <c r="B54" s="176"/>
      <c r="C54" s="256" t="s">
        <v>258</v>
      </c>
      <c r="D54" s="214"/>
      <c r="E54" s="257"/>
      <c r="F54" s="258">
        <f>IFERROR(F52/1000,"nvt")</f>
        <v>18.326666666666657</v>
      </c>
      <c r="G54" s="259" t="s">
        <v>77</v>
      </c>
      <c r="H54" s="175"/>
    </row>
    <row r="55" spans="1:10" ht="16.5">
      <c r="B55" s="176"/>
      <c r="C55" s="212"/>
      <c r="D55" s="260"/>
      <c r="E55" s="449"/>
      <c r="F55" s="450"/>
      <c r="G55" s="450"/>
      <c r="H55" s="175"/>
    </row>
    <row r="56" spans="1:10" ht="18" customHeight="1">
      <c r="B56" s="176"/>
      <c r="C56" s="261" t="s">
        <v>128</v>
      </c>
      <c r="D56" s="262"/>
      <c r="E56" s="263"/>
      <c r="F56" s="262"/>
      <c r="G56" s="264"/>
      <c r="H56" s="175"/>
    </row>
    <row r="57" spans="1:10" ht="51.75" customHeight="1">
      <c r="B57" s="176"/>
      <c r="C57" s="438" t="s">
        <v>78</v>
      </c>
      <c r="D57" s="436"/>
      <c r="E57" s="436"/>
      <c r="F57" s="436"/>
      <c r="G57" s="437"/>
      <c r="H57" s="175"/>
    </row>
    <row r="58" spans="1:10" ht="16.5">
      <c r="B58" s="176"/>
      <c r="C58" s="265"/>
      <c r="D58" s="266"/>
      <c r="E58" s="266"/>
      <c r="F58" s="266"/>
      <c r="G58" s="266"/>
      <c r="H58" s="175"/>
    </row>
    <row r="59" spans="1:10" ht="16.5">
      <c r="B59" s="176"/>
      <c r="C59" s="261" t="s">
        <v>135</v>
      </c>
      <c r="D59" s="262"/>
      <c r="E59" s="267"/>
      <c r="F59" s="268"/>
      <c r="G59" s="262"/>
      <c r="H59" s="175"/>
    </row>
    <row r="60" spans="1:10" ht="91.5" customHeight="1">
      <c r="B60" s="269"/>
      <c r="C60" s="435" t="s">
        <v>137</v>
      </c>
      <c r="D60" s="436"/>
      <c r="E60" s="436"/>
      <c r="F60" s="436"/>
      <c r="G60" s="437"/>
      <c r="H60" s="175"/>
      <c r="J60" s="270"/>
    </row>
    <row r="61" spans="1:10" ht="15" customHeight="1" thickBot="1">
      <c r="B61" s="271"/>
      <c r="C61" s="272"/>
      <c r="D61" s="272"/>
      <c r="E61" s="272"/>
      <c r="F61" s="272"/>
      <c r="G61" s="272"/>
      <c r="H61" s="273"/>
    </row>
    <row r="62" spans="1:10" ht="15" customHeight="1"/>
    <row r="63" spans="1:10">
      <c r="A63" s="152"/>
      <c r="B63" s="152"/>
      <c r="C63" s="152"/>
      <c r="D63" s="152"/>
      <c r="E63" s="152"/>
      <c r="F63" s="152"/>
      <c r="G63" s="152"/>
    </row>
    <row r="64" spans="1:10" ht="19.899999999999999" customHeight="1"/>
    <row r="66" ht="14.25" customHeight="1"/>
    <row r="67" ht="28.5" customHeight="1"/>
    <row r="68" ht="14.25" customHeight="1"/>
    <row r="70" ht="14.25" customHeight="1"/>
    <row r="71" ht="28.5" customHeight="1"/>
    <row r="72" ht="28.5" customHeight="1"/>
    <row r="75" ht="17.25" customHeight="1"/>
    <row r="76" ht="14.25" customHeight="1"/>
    <row r="77" ht="90.6" customHeight="1"/>
    <row r="78" ht="16.5" customHeight="1"/>
    <row r="79" ht="57" customHeight="1"/>
    <row r="80" ht="17.25" customHeight="1"/>
    <row r="81" ht="26.25" customHeight="1"/>
    <row r="82" ht="26.25" customHeight="1"/>
    <row r="83" ht="14.25" customHeight="1"/>
    <row r="86" ht="40.5" customHeight="1"/>
    <row r="87" ht="15" customHeight="1"/>
    <row r="88" ht="15" customHeight="1"/>
    <row r="89" ht="27.75" customHeight="1"/>
    <row r="92" ht="37.5" customHeight="1"/>
  </sheetData>
  <protectedRanges>
    <protectedRange sqref="D24:E24 D27:E27 D31:E34 D29:E29" name="Bereik1_4"/>
    <protectedRange sqref="D25 D28" name="Bereik1_5"/>
  </protectedRanges>
  <mergeCells count="38">
    <mergeCell ref="D4:G4"/>
    <mergeCell ref="D5:G5"/>
    <mergeCell ref="L5:O5"/>
    <mergeCell ref="D6:G6"/>
    <mergeCell ref="L6:O6"/>
    <mergeCell ref="D8:G8"/>
    <mergeCell ref="D9:G9"/>
    <mergeCell ref="L9:O9"/>
    <mergeCell ref="D10:G10"/>
    <mergeCell ref="L10:O10"/>
    <mergeCell ref="L11:O11"/>
    <mergeCell ref="D12:G12"/>
    <mergeCell ref="L12:O12"/>
    <mergeCell ref="D13:G13"/>
    <mergeCell ref="L13:O13"/>
    <mergeCell ref="D14:G14"/>
    <mergeCell ref="D11:G11"/>
    <mergeCell ref="C18:F18"/>
    <mergeCell ref="C19:G19"/>
    <mergeCell ref="C52:E52"/>
    <mergeCell ref="D23:E23"/>
    <mergeCell ref="C46:E46"/>
    <mergeCell ref="C48:E48"/>
    <mergeCell ref="C49:E49"/>
    <mergeCell ref="D26:E26"/>
    <mergeCell ref="C47:E47"/>
    <mergeCell ref="C50:E50"/>
    <mergeCell ref="D30:E30"/>
    <mergeCell ref="D40:E40"/>
    <mergeCell ref="D41:E41"/>
    <mergeCell ref="C60:G60"/>
    <mergeCell ref="D31:E31"/>
    <mergeCell ref="D29:E29"/>
    <mergeCell ref="D32:E32"/>
    <mergeCell ref="D33:E33"/>
    <mergeCell ref="D34:E34"/>
    <mergeCell ref="E55:G55"/>
    <mergeCell ref="C57:G57"/>
  </mergeCells>
  <phoneticPr fontId="0" type="noConversion"/>
  <dataValidations count="2">
    <dataValidation type="list" allowBlank="1" showInputMessage="1" showErrorMessage="1" sqref="L6:O8">
      <formula1>$J$6:$J$13</formula1>
    </dataValidation>
    <dataValidation type="list" allowBlank="1" showInputMessage="1" sqref="D26:E26">
      <formula1>$B$84:$B$91</formula1>
    </dataValidation>
  </dataValidations>
  <pageMargins left="0.70866141732283472" right="0.70866141732283472" top="0.74803149606299213" bottom="0.74803149606299213" header="0.31496062992125984" footer="0.31496062992125984"/>
  <pageSetup paperSize="9" scale="67" fitToHeight="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'GER-waarden'!$E$144:$E$146</xm:f>
          </x14:formula1>
          <xm:sqref>D25</xm:sqref>
        </x14:dataValidation>
        <x14:dataValidation type="list" allowBlank="1" showInputMessage="1">
          <x14:formula1>
            <xm:f>'GER-waarden'!$B$112:$B$119</xm:f>
          </x14:formula1>
          <xm:sqref>D23:E23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rgb="FF92D050"/>
    <pageSetUpPr fitToPage="1"/>
  </sheetPr>
  <dimension ref="A1:R61"/>
  <sheetViews>
    <sheetView workbookViewId="0"/>
  </sheetViews>
  <sheetFormatPr defaultColWidth="8.85546875" defaultRowHeight="12.75"/>
  <cols>
    <col min="1" max="2" width="3.7109375" style="297" customWidth="1"/>
    <col min="3" max="3" width="48.28515625" style="297" bestFit="1" customWidth="1"/>
    <col min="4" max="4" width="22" style="297" customWidth="1"/>
    <col min="5" max="5" width="18.5703125" style="297" customWidth="1"/>
    <col min="6" max="6" width="12.7109375" style="297" customWidth="1"/>
    <col min="7" max="7" width="24.28515625" style="297" bestFit="1" customWidth="1"/>
    <col min="8" max="8" width="3.7109375" style="297" customWidth="1"/>
    <col min="9" max="16384" width="8.85546875" style="297"/>
  </cols>
  <sheetData>
    <row r="1" spans="1:17" ht="15.75" thickBot="1">
      <c r="A1" s="142"/>
      <c r="B1" s="142"/>
      <c r="C1" s="142"/>
      <c r="D1" s="142"/>
      <c r="E1" s="142"/>
      <c r="F1" s="142"/>
      <c r="G1" s="142"/>
      <c r="H1" s="142"/>
      <c r="I1" s="142"/>
    </row>
    <row r="2" spans="1:17" ht="15">
      <c r="A2" s="142"/>
      <c r="B2" s="143"/>
      <c r="C2" s="144"/>
      <c r="D2" s="144"/>
      <c r="E2" s="145"/>
      <c r="F2" s="145"/>
      <c r="G2" s="145"/>
      <c r="H2" s="146"/>
      <c r="I2" s="142"/>
    </row>
    <row r="3" spans="1:17" ht="15">
      <c r="A3" s="142"/>
      <c r="B3" s="147"/>
      <c r="C3" s="148" t="s">
        <v>125</v>
      </c>
      <c r="D3" s="149"/>
      <c r="E3" s="150"/>
      <c r="F3" s="149"/>
      <c r="G3" s="149"/>
      <c r="H3" s="151"/>
      <c r="I3" s="142"/>
    </row>
    <row r="4" spans="1:17" ht="15">
      <c r="A4" s="142"/>
      <c r="B4" s="147"/>
      <c r="C4" s="153" t="s">
        <v>109</v>
      </c>
      <c r="D4" s="427" t="s">
        <v>155</v>
      </c>
      <c r="E4" s="427"/>
      <c r="F4" s="427"/>
      <c r="G4" s="427"/>
      <c r="H4" s="151"/>
      <c r="I4" s="142"/>
    </row>
    <row r="5" spans="1:17" ht="15" customHeight="1">
      <c r="A5" s="142"/>
      <c r="B5" s="147"/>
      <c r="C5" s="154" t="s">
        <v>110</v>
      </c>
      <c r="D5" s="428" t="s">
        <v>111</v>
      </c>
      <c r="E5" s="428"/>
      <c r="F5" s="428"/>
      <c r="G5" s="428"/>
      <c r="H5" s="151"/>
      <c r="I5" s="142"/>
    </row>
    <row r="6" spans="1:17" ht="14.25" customHeight="1">
      <c r="A6" s="142"/>
      <c r="B6" s="147"/>
      <c r="C6" s="154" t="s">
        <v>112</v>
      </c>
      <c r="D6" s="429" t="s">
        <v>124</v>
      </c>
      <c r="E6" s="425"/>
      <c r="F6" s="425"/>
      <c r="G6" s="426"/>
      <c r="H6" s="151"/>
      <c r="I6" s="142"/>
    </row>
    <row r="7" spans="1:17" ht="14.25" customHeight="1">
      <c r="A7" s="142"/>
      <c r="B7" s="147"/>
      <c r="C7" s="154" t="s">
        <v>120</v>
      </c>
      <c r="D7" s="156" t="s">
        <v>163</v>
      </c>
      <c r="E7" s="157"/>
      <c r="F7" s="157"/>
      <c r="G7" s="158"/>
      <c r="H7" s="151"/>
      <c r="I7" s="142"/>
    </row>
    <row r="8" spans="1:17" ht="17.25" customHeight="1">
      <c r="A8" s="142"/>
      <c r="B8" s="147"/>
      <c r="C8" s="154" t="s">
        <v>385</v>
      </c>
      <c r="D8" s="430">
        <v>2017</v>
      </c>
      <c r="E8" s="431"/>
      <c r="F8" s="431"/>
      <c r="G8" s="432"/>
      <c r="H8" s="151"/>
      <c r="I8" s="142"/>
    </row>
    <row r="9" spans="1:17" ht="15">
      <c r="A9" s="142"/>
      <c r="B9" s="147"/>
      <c r="C9" s="154" t="s">
        <v>113</v>
      </c>
      <c r="D9" s="423">
        <v>0.33</v>
      </c>
      <c r="E9" s="423"/>
      <c r="F9" s="423"/>
      <c r="G9" s="423"/>
      <c r="H9" s="151"/>
      <c r="I9" s="142"/>
    </row>
    <row r="10" spans="1:17" ht="14.25" customHeight="1">
      <c r="A10" s="142"/>
      <c r="B10" s="147"/>
      <c r="C10" s="154" t="s">
        <v>114</v>
      </c>
      <c r="D10" s="423">
        <v>1</v>
      </c>
      <c r="E10" s="423"/>
      <c r="F10" s="423"/>
      <c r="G10" s="423"/>
      <c r="H10" s="151"/>
      <c r="I10" s="142"/>
    </row>
    <row r="11" spans="1:17" ht="15" customHeight="1">
      <c r="A11" s="142"/>
      <c r="B11" s="147"/>
      <c r="C11" s="154" t="s">
        <v>115</v>
      </c>
      <c r="D11" s="424">
        <f>F53</f>
        <v>4.5366666666666733</v>
      </c>
      <c r="E11" s="425"/>
      <c r="F11" s="425"/>
      <c r="G11" s="426"/>
      <c r="H11" s="151"/>
      <c r="I11" s="142"/>
    </row>
    <row r="12" spans="1:17" ht="15" customHeight="1">
      <c r="A12" s="142"/>
      <c r="B12" s="147"/>
      <c r="C12" s="154" t="s">
        <v>126</v>
      </c>
      <c r="D12" s="424">
        <f>IFERROR(D9*D11,"nvt")</f>
        <v>1.4971000000000023</v>
      </c>
      <c r="E12" s="425"/>
      <c r="F12" s="425"/>
      <c r="G12" s="426"/>
      <c r="H12" s="151"/>
      <c r="I12" s="142"/>
    </row>
    <row r="13" spans="1:17" ht="17.25" customHeight="1">
      <c r="A13" s="142"/>
      <c r="B13" s="147"/>
      <c r="C13" s="154" t="s">
        <v>291</v>
      </c>
      <c r="D13" s="424">
        <f>IFERROR((IF(D8&lt;2017,4,2021-D8))*D11,"nvt")</f>
        <v>18.146666666666693</v>
      </c>
      <c r="E13" s="425"/>
      <c r="F13" s="425"/>
      <c r="G13" s="426"/>
      <c r="H13" s="151"/>
      <c r="I13" s="142"/>
    </row>
    <row r="14" spans="1:17" ht="16.5" customHeight="1">
      <c r="A14" s="142"/>
      <c r="B14" s="147"/>
      <c r="C14" s="154" t="s">
        <v>127</v>
      </c>
      <c r="D14" s="424">
        <f>IFERROR(D13*D9,"nvt")</f>
        <v>5.9884000000000093</v>
      </c>
      <c r="E14" s="425"/>
      <c r="F14" s="425"/>
      <c r="G14" s="426"/>
      <c r="H14" s="151"/>
      <c r="I14" s="142"/>
    </row>
    <row r="15" spans="1:17" ht="14.25" customHeight="1" thickBot="1">
      <c r="A15" s="142"/>
      <c r="B15" s="160"/>
      <c r="C15" s="161"/>
      <c r="D15" s="162"/>
      <c r="E15" s="163"/>
      <c r="F15" s="163"/>
      <c r="G15" s="163"/>
      <c r="H15" s="164"/>
      <c r="I15" s="142"/>
    </row>
    <row r="16" spans="1:17" s="142" customFormat="1" ht="15.75" thickBot="1">
      <c r="A16" s="152"/>
      <c r="B16" s="155"/>
      <c r="C16" s="165"/>
      <c r="D16" s="166"/>
      <c r="E16" s="167"/>
      <c r="F16" s="167"/>
      <c r="G16" s="167"/>
      <c r="H16" s="165"/>
      <c r="I16" s="152"/>
      <c r="J16" s="152"/>
      <c r="K16" s="152"/>
      <c r="L16" s="152"/>
      <c r="M16" s="152"/>
      <c r="N16" s="152"/>
      <c r="O16" s="152"/>
      <c r="P16" s="152"/>
      <c r="Q16" s="152"/>
    </row>
    <row r="17" spans="2:17" s="142" customFormat="1" ht="16.5">
      <c r="B17" s="168"/>
      <c r="C17" s="169"/>
      <c r="D17" s="169"/>
      <c r="E17" s="170"/>
      <c r="F17" s="171"/>
      <c r="G17" s="171"/>
      <c r="H17" s="172"/>
    </row>
    <row r="18" spans="2:17" s="142" customFormat="1" ht="47.25" customHeight="1">
      <c r="B18" s="173"/>
      <c r="C18" s="464" t="s">
        <v>164</v>
      </c>
      <c r="D18" s="464"/>
      <c r="E18" s="464"/>
      <c r="F18" s="464"/>
      <c r="G18" s="174"/>
      <c r="H18" s="175"/>
    </row>
    <row r="19" spans="2:17" s="142" customFormat="1" ht="108.75" customHeight="1">
      <c r="B19" s="173"/>
      <c r="C19" s="465" t="s">
        <v>296</v>
      </c>
      <c r="D19" s="465"/>
      <c r="E19" s="465"/>
      <c r="F19" s="465"/>
      <c r="G19" s="465"/>
      <c r="H19" s="175"/>
    </row>
    <row r="20" spans="2:17" s="142" customFormat="1" ht="16.5">
      <c r="B20" s="176"/>
      <c r="C20" s="177"/>
      <c r="D20" s="178"/>
      <c r="E20" s="179"/>
      <c r="F20" s="179"/>
      <c r="G20" s="179"/>
      <c r="H20" s="151"/>
      <c r="J20" s="152"/>
      <c r="K20" s="152"/>
      <c r="L20" s="152"/>
      <c r="M20" s="152"/>
      <c r="N20" s="152"/>
      <c r="O20" s="152"/>
      <c r="P20" s="152"/>
      <c r="Q20" s="152"/>
    </row>
    <row r="21" spans="2:17" s="142" customFormat="1" ht="21.75" customHeight="1" thickBot="1">
      <c r="B21" s="173"/>
      <c r="C21" s="180" t="s">
        <v>129</v>
      </c>
      <c r="D21" s="181"/>
      <c r="E21" s="181"/>
      <c r="F21" s="181"/>
      <c r="G21" s="181"/>
      <c r="H21" s="175"/>
    </row>
    <row r="22" spans="2:17" s="142" customFormat="1" ht="27.75" customHeight="1">
      <c r="B22" s="176"/>
      <c r="C22" s="182"/>
      <c r="D22" s="298" t="s">
        <v>118</v>
      </c>
      <c r="E22" s="298" t="s">
        <v>267</v>
      </c>
      <c r="F22" s="184" t="s">
        <v>0</v>
      </c>
      <c r="G22" s="185" t="s">
        <v>3</v>
      </c>
      <c r="H22" s="175"/>
    </row>
    <row r="23" spans="2:17" s="142" customFormat="1" ht="16.5">
      <c r="B23" s="176"/>
      <c r="C23" s="190" t="s">
        <v>157</v>
      </c>
      <c r="D23" s="274">
        <v>200000</v>
      </c>
      <c r="E23" s="274">
        <v>220000</v>
      </c>
      <c r="F23" s="299" t="s">
        <v>51</v>
      </c>
      <c r="G23" s="189" t="s">
        <v>220</v>
      </c>
      <c r="H23" s="175"/>
    </row>
    <row r="24" spans="2:17" s="142" customFormat="1" ht="16.5">
      <c r="B24" s="186"/>
      <c r="C24" s="196" t="s">
        <v>170</v>
      </c>
      <c r="D24" s="433" t="s">
        <v>11</v>
      </c>
      <c r="E24" s="434"/>
      <c r="F24" s="188"/>
      <c r="G24" s="192" t="s">
        <v>220</v>
      </c>
      <c r="H24" s="175"/>
    </row>
    <row r="25" spans="2:17" s="142" customFormat="1" ht="30" customHeight="1">
      <c r="B25" s="176"/>
      <c r="C25" s="300" t="s">
        <v>162</v>
      </c>
      <c r="D25" s="275">
        <v>1000</v>
      </c>
      <c r="E25" s="275">
        <v>1000</v>
      </c>
      <c r="F25" s="198" t="s">
        <v>52</v>
      </c>
      <c r="G25" s="192" t="s">
        <v>220</v>
      </c>
      <c r="H25" s="175"/>
    </row>
    <row r="26" spans="2:17" s="142" customFormat="1" ht="30" customHeight="1">
      <c r="B26" s="186"/>
      <c r="C26" s="301" t="s">
        <v>158</v>
      </c>
      <c r="D26" s="275">
        <v>0</v>
      </c>
      <c r="E26" s="322">
        <v>100</v>
      </c>
      <c r="F26" s="302" t="s">
        <v>52</v>
      </c>
      <c r="G26" s="192" t="s">
        <v>220</v>
      </c>
      <c r="H26" s="175"/>
    </row>
    <row r="27" spans="2:17" s="142" customFormat="1" ht="16.5">
      <c r="B27" s="176"/>
      <c r="C27" s="193" t="s">
        <v>145</v>
      </c>
      <c r="D27" s="323" t="s">
        <v>69</v>
      </c>
      <c r="E27" s="303"/>
      <c r="F27" s="194"/>
      <c r="G27" s="304" t="s">
        <v>220</v>
      </c>
      <c r="H27" s="175"/>
    </row>
    <row r="28" spans="2:17" s="142" customFormat="1" ht="28.5" customHeight="1">
      <c r="B28" s="176"/>
      <c r="C28" s="201" t="s">
        <v>160</v>
      </c>
      <c r="D28" s="477">
        <f>VLOOKUP(D24,'GER-waarden'!B6:C25,2,FALSE)</f>
        <v>75.099999999999994</v>
      </c>
      <c r="E28" s="477"/>
      <c r="F28" s="202" t="s">
        <v>1</v>
      </c>
      <c r="G28" s="203" t="s">
        <v>68</v>
      </c>
      <c r="H28" s="175"/>
      <c r="I28" s="204"/>
    </row>
    <row r="29" spans="2:17" s="142" customFormat="1" ht="28.5" customHeight="1">
      <c r="B29" s="176"/>
      <c r="C29" s="205" t="s">
        <v>161</v>
      </c>
      <c r="D29" s="478">
        <f>VLOOKUP(D24,'GER-waarden'!B28:D35,2,TRUE)</f>
        <v>13.433333333333332</v>
      </c>
      <c r="E29" s="478"/>
      <c r="F29" s="202" t="s">
        <v>1</v>
      </c>
      <c r="G29" s="206" t="s">
        <v>68</v>
      </c>
      <c r="H29" s="175"/>
      <c r="I29" s="204"/>
    </row>
    <row r="30" spans="2:17" s="142" customFormat="1" ht="17.25" thickBot="1">
      <c r="B30" s="176"/>
      <c r="C30" s="209" t="s">
        <v>38</v>
      </c>
      <c r="D30" s="463">
        <f>(IF(D27="Recyclen bij andere verwerker",0,VLOOKUP(D24,'GER-waarden'!B58:D70,(IF(D27="Verbranding in AVI",2,3)),TRUE)))</f>
        <v>-16.3</v>
      </c>
      <c r="E30" s="463"/>
      <c r="F30" s="210" t="s">
        <v>1</v>
      </c>
      <c r="G30" s="211" t="s">
        <v>68</v>
      </c>
      <c r="H30" s="175"/>
    </row>
    <row r="31" spans="2:17" s="142" customFormat="1" ht="16.5">
      <c r="B31" s="176"/>
      <c r="C31" s="212"/>
      <c r="D31" s="212"/>
      <c r="E31" s="212"/>
      <c r="F31" s="212"/>
      <c r="G31" s="212"/>
      <c r="H31" s="175"/>
    </row>
    <row r="32" spans="2:17" s="142" customFormat="1" ht="17.25" thickBot="1">
      <c r="B32" s="176"/>
      <c r="C32" s="213" t="s">
        <v>130</v>
      </c>
      <c r="D32" s="214"/>
      <c r="E32" s="214"/>
      <c r="F32" s="215"/>
      <c r="G32" s="216"/>
      <c r="H32" s="175"/>
    </row>
    <row r="33" spans="2:18" s="142" customFormat="1" ht="23.25" customHeight="1">
      <c r="B33" s="176"/>
      <c r="C33" s="217"/>
      <c r="D33" s="218" t="s">
        <v>118</v>
      </c>
      <c r="E33" s="218" t="s">
        <v>270</v>
      </c>
      <c r="F33" s="219" t="s">
        <v>0</v>
      </c>
      <c r="G33" s="220" t="s">
        <v>3</v>
      </c>
      <c r="H33" s="175"/>
    </row>
    <row r="34" spans="2:18" s="142" customFormat="1" ht="14.25" customHeight="1">
      <c r="B34" s="176"/>
      <c r="C34" s="221" t="s">
        <v>133</v>
      </c>
      <c r="D34" s="296">
        <v>0</v>
      </c>
      <c r="E34" s="296">
        <v>0</v>
      </c>
      <c r="F34" s="222" t="s">
        <v>131</v>
      </c>
      <c r="G34" s="305" t="s">
        <v>220</v>
      </c>
      <c r="H34" s="175"/>
    </row>
    <row r="35" spans="2:18" s="142" customFormat="1" ht="14.25" customHeight="1">
      <c r="B35" s="176"/>
      <c r="C35" s="224" t="s">
        <v>134</v>
      </c>
      <c r="D35" s="296">
        <v>0</v>
      </c>
      <c r="E35" s="296">
        <v>0</v>
      </c>
      <c r="F35" s="225" t="s">
        <v>132</v>
      </c>
      <c r="G35" s="306" t="s">
        <v>220</v>
      </c>
      <c r="H35" s="175"/>
    </row>
    <row r="36" spans="2:18" s="142" customFormat="1" ht="14.25" customHeight="1">
      <c r="B36" s="176"/>
      <c r="C36" s="226" t="s">
        <v>79</v>
      </c>
      <c r="D36" s="473">
        <v>11.3</v>
      </c>
      <c r="E36" s="474"/>
      <c r="F36" s="307" t="s">
        <v>82</v>
      </c>
      <c r="G36" s="228" t="s">
        <v>68</v>
      </c>
      <c r="H36" s="175"/>
      <c r="J36" s="229"/>
    </row>
    <row r="37" spans="2:18" s="142" customFormat="1" ht="14.25" customHeight="1">
      <c r="B37" s="176"/>
      <c r="C37" s="230" t="s">
        <v>80</v>
      </c>
      <c r="D37" s="475">
        <v>45.2</v>
      </c>
      <c r="E37" s="476"/>
      <c r="F37" s="231" t="s">
        <v>81</v>
      </c>
      <c r="G37" s="232" t="s">
        <v>68</v>
      </c>
      <c r="H37" s="175"/>
      <c r="J37" s="229"/>
      <c r="L37" s="152"/>
    </row>
    <row r="38" spans="2:18" s="142" customFormat="1" ht="16.5">
      <c r="B38" s="176"/>
      <c r="C38" s="233" t="s">
        <v>193</v>
      </c>
      <c r="D38" s="214"/>
      <c r="E38" s="214"/>
      <c r="F38" s="215"/>
      <c r="G38" s="216"/>
      <c r="H38" s="175"/>
    </row>
    <row r="39" spans="2:18" s="142" customFormat="1" ht="17.25" customHeight="1">
      <c r="B39" s="176"/>
      <c r="C39" s="212"/>
      <c r="D39" s="234"/>
      <c r="E39" s="234"/>
      <c r="F39" s="234"/>
      <c r="G39" s="214"/>
      <c r="H39" s="175"/>
    </row>
    <row r="40" spans="2:18" s="142" customFormat="1" ht="17.25" customHeight="1" thickBot="1">
      <c r="B40" s="176"/>
      <c r="C40" s="235" t="s">
        <v>75</v>
      </c>
      <c r="D40" s="234"/>
      <c r="E40" s="234"/>
      <c r="F40" s="234"/>
      <c r="G40" s="214"/>
      <c r="H40" s="175"/>
    </row>
    <row r="41" spans="2:18" s="142" customFormat="1" ht="16.5">
      <c r="B41" s="176"/>
      <c r="C41" s="236" t="s">
        <v>260</v>
      </c>
      <c r="D41" s="237"/>
      <c r="E41" s="237"/>
      <c r="F41" s="238"/>
      <c r="G41" s="239"/>
      <c r="H41" s="175"/>
    </row>
    <row r="42" spans="2:18" s="142" customFormat="1" ht="65.45" customHeight="1">
      <c r="B42" s="176"/>
      <c r="C42" s="479" t="s">
        <v>47</v>
      </c>
      <c r="D42" s="480"/>
      <c r="E42" s="480"/>
      <c r="F42" s="308">
        <f>IFERROR((D25*D28)+(D26*(D29-D30)),"nvt")</f>
        <v>75100</v>
      </c>
      <c r="G42" s="309" t="s">
        <v>76</v>
      </c>
      <c r="H42" s="175"/>
    </row>
    <row r="43" spans="2:18" s="142" customFormat="1" ht="44.45" customHeight="1">
      <c r="B43" s="176"/>
      <c r="C43" s="483" t="s">
        <v>190</v>
      </c>
      <c r="D43" s="484"/>
      <c r="E43" s="484"/>
      <c r="F43" s="310">
        <f>((D35*D36)+(D34*D37))/1000</f>
        <v>0</v>
      </c>
      <c r="G43" s="311" t="s">
        <v>76</v>
      </c>
      <c r="H43" s="175"/>
    </row>
    <row r="44" spans="2:18" s="142" customFormat="1" ht="18.600000000000001" customHeight="1" thickBot="1">
      <c r="B44" s="176"/>
      <c r="C44" s="312" t="s">
        <v>28</v>
      </c>
      <c r="D44" s="313"/>
      <c r="E44" s="313"/>
      <c r="F44" s="314">
        <f>IFERROR((F42+F43)/D23,"nvt")</f>
        <v>0.3755</v>
      </c>
      <c r="G44" s="315" t="s">
        <v>165</v>
      </c>
      <c r="H44" s="175"/>
    </row>
    <row r="45" spans="2:18" s="142" customFormat="1" ht="16.5">
      <c r="B45" s="176"/>
      <c r="C45" s="445" t="s">
        <v>282</v>
      </c>
      <c r="D45" s="446"/>
      <c r="E45" s="446"/>
      <c r="F45" s="245"/>
      <c r="G45" s="246"/>
      <c r="H45" s="175"/>
      <c r="R45" s="204"/>
    </row>
    <row r="46" spans="2:18" s="142" customFormat="1" ht="61.15" customHeight="1">
      <c r="B46" s="176"/>
      <c r="C46" s="479" t="s">
        <v>272</v>
      </c>
      <c r="D46" s="480"/>
      <c r="E46" s="480"/>
      <c r="F46" s="308">
        <f>IFERROR((E25*D28)+(E26*(D29-D30)),"nvt")</f>
        <v>78073.333333333328</v>
      </c>
      <c r="G46" s="311" t="s">
        <v>76</v>
      </c>
      <c r="H46" s="175"/>
    </row>
    <row r="47" spans="2:18" s="142" customFormat="1" ht="37.15" customHeight="1">
      <c r="B47" s="176"/>
      <c r="C47" s="483" t="s">
        <v>273</v>
      </c>
      <c r="D47" s="484"/>
      <c r="E47" s="484"/>
      <c r="F47" s="310">
        <f>((E35*D36)+(E34*D37))/1000</f>
        <v>0</v>
      </c>
      <c r="G47" s="316" t="s">
        <v>76</v>
      </c>
      <c r="H47" s="175"/>
    </row>
    <row r="48" spans="2:18" s="142" customFormat="1" ht="25.15" customHeight="1" thickBot="1">
      <c r="B48" s="176"/>
      <c r="C48" s="317" t="s">
        <v>274</v>
      </c>
      <c r="D48" s="313"/>
      <c r="E48" s="313"/>
      <c r="F48" s="314">
        <f>IFERROR((F46+F47)/E23,"nvt")</f>
        <v>0.35487878787878785</v>
      </c>
      <c r="G48" s="243" t="s">
        <v>165</v>
      </c>
      <c r="H48" s="318"/>
    </row>
    <row r="49" spans="2:10" s="142" customFormat="1" ht="16.5">
      <c r="B49" s="176"/>
      <c r="C49" s="319" t="s">
        <v>74</v>
      </c>
      <c r="D49" s="237"/>
      <c r="E49" s="237"/>
      <c r="F49" s="245"/>
      <c r="G49" s="239"/>
      <c r="H49" s="175"/>
    </row>
    <row r="50" spans="2:10" s="142" customFormat="1" ht="24.6" customHeight="1">
      <c r="B50" s="176"/>
      <c r="C50" s="485" t="s">
        <v>275</v>
      </c>
      <c r="D50" s="486"/>
      <c r="E50" s="486"/>
      <c r="F50" s="320">
        <f>IFERROR(F44-F48,"nvt")</f>
        <v>2.0621212121212151E-2</v>
      </c>
      <c r="G50" s="311" t="s">
        <v>165</v>
      </c>
      <c r="H50" s="175"/>
      <c r="J50" s="152"/>
    </row>
    <row r="51" spans="2:10" s="142" customFormat="1" ht="37.15" customHeight="1" thickBot="1">
      <c r="B51" s="176"/>
      <c r="C51" s="481" t="s">
        <v>24</v>
      </c>
      <c r="D51" s="482"/>
      <c r="E51" s="313"/>
      <c r="F51" s="321">
        <f>IFERROR(F50*E23,"nvt")</f>
        <v>4536.6666666666733</v>
      </c>
      <c r="G51" s="315" t="s">
        <v>76</v>
      </c>
      <c r="H51" s="175"/>
    </row>
    <row r="52" spans="2:10" s="142" customFormat="1" ht="17.25" thickBot="1">
      <c r="B52" s="176"/>
      <c r="C52" s="212"/>
      <c r="D52" s="214"/>
      <c r="E52" s="214"/>
      <c r="F52" s="255"/>
      <c r="G52" s="214"/>
      <c r="H52" s="175"/>
    </row>
    <row r="53" spans="2:10" s="142" customFormat="1" ht="18" customHeight="1" thickBot="1">
      <c r="B53" s="176"/>
      <c r="C53" s="256" t="s">
        <v>259</v>
      </c>
      <c r="D53" s="214"/>
      <c r="E53" s="257"/>
      <c r="F53" s="258">
        <f>IFERROR(F51/1000,"nvt")</f>
        <v>4.5366666666666733</v>
      </c>
      <c r="G53" s="259" t="s">
        <v>77</v>
      </c>
      <c r="H53" s="175"/>
    </row>
    <row r="54" spans="2:10" s="142" customFormat="1" ht="16.5">
      <c r="B54" s="176"/>
      <c r="C54" s="212"/>
      <c r="D54" s="260"/>
      <c r="E54" s="449"/>
      <c r="F54" s="450"/>
      <c r="G54" s="450"/>
      <c r="H54" s="175"/>
    </row>
    <row r="55" spans="2:10" s="142" customFormat="1" ht="18" customHeight="1">
      <c r="B55" s="176"/>
      <c r="C55" s="261" t="s">
        <v>128</v>
      </c>
      <c r="D55" s="262"/>
      <c r="E55" s="263"/>
      <c r="F55" s="262"/>
      <c r="G55" s="264"/>
      <c r="H55" s="175"/>
    </row>
    <row r="56" spans="2:10" s="142" customFormat="1" ht="51.75" customHeight="1">
      <c r="B56" s="176"/>
      <c r="C56" s="438" t="s">
        <v>78</v>
      </c>
      <c r="D56" s="436"/>
      <c r="E56" s="436"/>
      <c r="F56" s="436"/>
      <c r="G56" s="437"/>
      <c r="H56" s="175"/>
    </row>
    <row r="57" spans="2:10" s="142" customFormat="1" ht="16.5">
      <c r="B57" s="176"/>
      <c r="C57" s="265"/>
      <c r="D57" s="266"/>
      <c r="E57" s="266"/>
      <c r="F57" s="266"/>
      <c r="G57" s="266"/>
      <c r="H57" s="175"/>
    </row>
    <row r="58" spans="2:10" s="142" customFormat="1" ht="16.5">
      <c r="B58" s="176"/>
      <c r="C58" s="261" t="s">
        <v>135</v>
      </c>
      <c r="D58" s="262"/>
      <c r="E58" s="267"/>
      <c r="F58" s="268"/>
      <c r="G58" s="262"/>
      <c r="H58" s="175"/>
    </row>
    <row r="59" spans="2:10" s="142" customFormat="1" ht="91.5" customHeight="1">
      <c r="B59" s="269"/>
      <c r="C59" s="435" t="s">
        <v>137</v>
      </c>
      <c r="D59" s="436"/>
      <c r="E59" s="436"/>
      <c r="F59" s="436"/>
      <c r="G59" s="437"/>
      <c r="H59" s="175"/>
      <c r="J59" s="270"/>
    </row>
    <row r="60" spans="2:10" s="142" customFormat="1" ht="15" customHeight="1" thickBot="1">
      <c r="B60" s="271"/>
      <c r="C60" s="272"/>
      <c r="D60" s="272"/>
      <c r="E60" s="272"/>
      <c r="F60" s="272"/>
      <c r="G60" s="272"/>
      <c r="H60" s="273"/>
    </row>
    <row r="61" spans="2:10" s="142" customFormat="1" ht="15" customHeight="1"/>
  </sheetData>
  <protectedRanges>
    <protectedRange sqref="D23:E23 D25:E26 D30:E30 D28:E28" name="Bereik1_4_3"/>
    <protectedRange sqref="D27" name="Bereik1"/>
  </protectedRanges>
  <mergeCells count="28">
    <mergeCell ref="C45:E45"/>
    <mergeCell ref="C46:E46"/>
    <mergeCell ref="C51:D51"/>
    <mergeCell ref="E54:G54"/>
    <mergeCell ref="C43:E43"/>
    <mergeCell ref="C47:E47"/>
    <mergeCell ref="C50:E50"/>
    <mergeCell ref="C59:G59"/>
    <mergeCell ref="C56:G56"/>
    <mergeCell ref="D4:G4"/>
    <mergeCell ref="D5:G5"/>
    <mergeCell ref="D6:G6"/>
    <mergeCell ref="D8:G8"/>
    <mergeCell ref="D9:G9"/>
    <mergeCell ref="D10:G10"/>
    <mergeCell ref="D11:G11"/>
    <mergeCell ref="D12:G12"/>
    <mergeCell ref="D13:G13"/>
    <mergeCell ref="D14:G14"/>
    <mergeCell ref="C18:F18"/>
    <mergeCell ref="C19:G19"/>
    <mergeCell ref="D24:E24"/>
    <mergeCell ref="C42:E42"/>
    <mergeCell ref="D28:E28"/>
    <mergeCell ref="D29:E29"/>
    <mergeCell ref="D30:E30"/>
    <mergeCell ref="D36:E36"/>
    <mergeCell ref="D37:E37"/>
  </mergeCells>
  <phoneticPr fontId="0" type="noConversion"/>
  <pageMargins left="0.70866141732283472" right="0.70866141732283472" top="0.74803149606299213" bottom="0.74803149606299213" header="0.31496062992125984" footer="0.31496062992125984"/>
  <pageSetup paperSize="9" scale="65" fitToHeight="2" orientation="portrait" r:id="rId1"/>
  <extLst>
    <ext xmlns:x14="http://schemas.microsoft.com/office/spreadsheetml/2009/9/main" uri="{CCE6A557-97BC-4b89-ADB6-D9C93CAAB3DF}">
      <x14:dataValidations xmlns:xm="http://schemas.microsoft.com/office/excel/2006/main" count="2">
        <x14:dataValidation type="list" allowBlank="1" showInputMessage="1">
          <x14:formula1>
            <xm:f>'GER-waarden'!$B$112:$B$119</xm:f>
          </x14:formula1>
          <xm:sqref>D24:E24</xm:sqref>
        </x14:dataValidation>
        <x14:dataValidation type="list" allowBlank="1" showInputMessage="1" showErrorMessage="1">
          <x14:formula1>
            <xm:f>'GER-waarden'!$E$150:$E$151</xm:f>
          </x14:formula1>
          <xm:sqref>D27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rgb="FF92D050"/>
    <pageSetUpPr fitToPage="1"/>
  </sheetPr>
  <dimension ref="A1:R61"/>
  <sheetViews>
    <sheetView workbookViewId="0"/>
  </sheetViews>
  <sheetFormatPr defaultColWidth="8.85546875" defaultRowHeight="12.75"/>
  <cols>
    <col min="1" max="2" width="3.7109375" style="297" customWidth="1"/>
    <col min="3" max="3" width="45.140625" style="297" customWidth="1"/>
    <col min="4" max="4" width="22.140625" style="297" customWidth="1"/>
    <col min="5" max="5" width="19.28515625" style="297" customWidth="1"/>
    <col min="6" max="6" width="11.140625" style="297" customWidth="1"/>
    <col min="7" max="7" width="22.7109375" style="297" bestFit="1" customWidth="1"/>
    <col min="8" max="8" width="3.7109375" style="297" customWidth="1"/>
    <col min="9" max="16384" width="8.85546875" style="297"/>
  </cols>
  <sheetData>
    <row r="1" spans="1:17" ht="15.75" thickBot="1">
      <c r="A1" s="142"/>
      <c r="B1" s="142"/>
      <c r="C1" s="142"/>
      <c r="D1" s="142"/>
      <c r="E1" s="142"/>
      <c r="F1" s="142"/>
      <c r="G1" s="142"/>
      <c r="H1" s="142"/>
      <c r="I1" s="142"/>
    </row>
    <row r="2" spans="1:17" ht="15">
      <c r="A2" s="142"/>
      <c r="B2" s="143"/>
      <c r="C2" s="144"/>
      <c r="D2" s="144"/>
      <c r="E2" s="145"/>
      <c r="F2" s="145"/>
      <c r="G2" s="145"/>
      <c r="H2" s="146"/>
      <c r="I2" s="142"/>
    </row>
    <row r="3" spans="1:17" ht="15">
      <c r="A3" s="142"/>
      <c r="B3" s="147"/>
      <c r="C3" s="148" t="s">
        <v>125</v>
      </c>
      <c r="D3" s="149"/>
      <c r="E3" s="150"/>
      <c r="F3" s="149"/>
      <c r="G3" s="149"/>
      <c r="H3" s="151"/>
      <c r="I3" s="142"/>
    </row>
    <row r="4" spans="1:17" ht="15">
      <c r="A4" s="142"/>
      <c r="B4" s="147"/>
      <c r="C4" s="153" t="s">
        <v>109</v>
      </c>
      <c r="D4" s="427" t="s">
        <v>168</v>
      </c>
      <c r="E4" s="427"/>
      <c r="F4" s="427"/>
      <c r="G4" s="427"/>
      <c r="H4" s="151"/>
      <c r="I4" s="142"/>
    </row>
    <row r="5" spans="1:17" ht="15" customHeight="1">
      <c r="A5" s="142"/>
      <c r="B5" s="147"/>
      <c r="C5" s="154" t="s">
        <v>110</v>
      </c>
      <c r="D5" s="428" t="s">
        <v>111</v>
      </c>
      <c r="E5" s="428"/>
      <c r="F5" s="428"/>
      <c r="G5" s="428"/>
      <c r="H5" s="151"/>
      <c r="I5" s="142"/>
    </row>
    <row r="6" spans="1:17" ht="14.25" customHeight="1">
      <c r="A6" s="142"/>
      <c r="B6" s="147"/>
      <c r="C6" s="154" t="s">
        <v>112</v>
      </c>
      <c r="D6" s="429" t="s">
        <v>124</v>
      </c>
      <c r="E6" s="425"/>
      <c r="F6" s="425"/>
      <c r="G6" s="426"/>
      <c r="H6" s="151"/>
      <c r="I6" s="142"/>
    </row>
    <row r="7" spans="1:17" ht="14.25" customHeight="1">
      <c r="A7" s="142"/>
      <c r="B7" s="147"/>
      <c r="C7" s="154" t="s">
        <v>120</v>
      </c>
      <c r="D7" s="156" t="s">
        <v>163</v>
      </c>
      <c r="E7" s="157"/>
      <c r="F7" s="157"/>
      <c r="G7" s="158"/>
      <c r="H7" s="151"/>
      <c r="I7" s="142"/>
    </row>
    <row r="8" spans="1:17" ht="17.25" customHeight="1">
      <c r="A8" s="142"/>
      <c r="B8" s="147"/>
      <c r="C8" s="154" t="s">
        <v>385</v>
      </c>
      <c r="D8" s="430">
        <v>2017</v>
      </c>
      <c r="E8" s="431"/>
      <c r="F8" s="431"/>
      <c r="G8" s="432"/>
      <c r="H8" s="151"/>
      <c r="I8" s="142"/>
    </row>
    <row r="9" spans="1:17" ht="15">
      <c r="A9" s="142"/>
      <c r="B9" s="147"/>
      <c r="C9" s="154" t="s">
        <v>113</v>
      </c>
      <c r="D9" s="423">
        <v>1</v>
      </c>
      <c r="E9" s="423"/>
      <c r="F9" s="423"/>
      <c r="G9" s="423"/>
      <c r="H9" s="151"/>
      <c r="I9" s="142"/>
    </row>
    <row r="10" spans="1:17" ht="14.25" customHeight="1">
      <c r="A10" s="142"/>
      <c r="B10" s="147"/>
      <c r="C10" s="154" t="s">
        <v>114</v>
      </c>
      <c r="D10" s="487">
        <v>1</v>
      </c>
      <c r="E10" s="487"/>
      <c r="F10" s="487"/>
      <c r="G10" s="487"/>
      <c r="H10" s="151"/>
      <c r="I10" s="142"/>
    </row>
    <row r="11" spans="1:17" ht="15" customHeight="1">
      <c r="A11" s="142"/>
      <c r="B11" s="147"/>
      <c r="C11" s="154" t="s">
        <v>115</v>
      </c>
      <c r="D11" s="424">
        <f>F52</f>
        <v>0.19840499999999994</v>
      </c>
      <c r="E11" s="425"/>
      <c r="F11" s="425"/>
      <c r="G11" s="426"/>
      <c r="H11" s="151"/>
      <c r="I11" s="142"/>
    </row>
    <row r="12" spans="1:17" ht="15" customHeight="1">
      <c r="A12" s="142"/>
      <c r="B12" s="147"/>
      <c r="C12" s="154" t="s">
        <v>126</v>
      </c>
      <c r="D12" s="424">
        <f>IFERROR(D9*D11,"nvt")</f>
        <v>0.19840499999999994</v>
      </c>
      <c r="E12" s="425"/>
      <c r="F12" s="425"/>
      <c r="G12" s="426"/>
      <c r="H12" s="151"/>
      <c r="I12" s="142"/>
    </row>
    <row r="13" spans="1:17" ht="17.25" customHeight="1">
      <c r="A13" s="142"/>
      <c r="B13" s="147"/>
      <c r="C13" s="154" t="s">
        <v>291</v>
      </c>
      <c r="D13" s="424">
        <f>IFERROR((IF(D8&lt;2017,4,2021-D8))*D11,"nvt")</f>
        <v>0.79361999999999977</v>
      </c>
      <c r="E13" s="491"/>
      <c r="F13" s="491"/>
      <c r="G13" s="492"/>
      <c r="H13" s="151"/>
      <c r="I13" s="142"/>
    </row>
    <row r="14" spans="1:17" ht="14.25" customHeight="1">
      <c r="A14" s="142"/>
      <c r="B14" s="147"/>
      <c r="C14" s="154" t="s">
        <v>127</v>
      </c>
      <c r="D14" s="424">
        <f>IFERROR(D13*D9,"nvt")</f>
        <v>0.79361999999999977</v>
      </c>
      <c r="E14" s="491"/>
      <c r="F14" s="491"/>
      <c r="G14" s="492"/>
      <c r="H14" s="151"/>
      <c r="I14" s="142"/>
    </row>
    <row r="15" spans="1:17" ht="14.25" customHeight="1" thickBot="1">
      <c r="A15" s="142"/>
      <c r="B15" s="160"/>
      <c r="C15" s="161"/>
      <c r="D15" s="162"/>
      <c r="E15" s="163"/>
      <c r="F15" s="163"/>
      <c r="G15" s="163"/>
      <c r="H15" s="164"/>
      <c r="I15" s="142"/>
    </row>
    <row r="16" spans="1:17" s="142" customFormat="1" ht="15.75" thickBot="1">
      <c r="A16" s="152"/>
      <c r="B16" s="155"/>
      <c r="C16" s="165"/>
      <c r="D16" s="166"/>
      <c r="E16" s="167"/>
      <c r="F16" s="167"/>
      <c r="G16" s="167"/>
      <c r="H16" s="165"/>
      <c r="I16" s="152"/>
      <c r="J16" s="152"/>
      <c r="K16" s="152"/>
      <c r="L16" s="152"/>
      <c r="M16" s="152"/>
      <c r="N16" s="152"/>
      <c r="O16" s="152"/>
      <c r="P16" s="152"/>
      <c r="Q16" s="152"/>
    </row>
    <row r="17" spans="2:17" s="142" customFormat="1" ht="16.5">
      <c r="B17" s="168"/>
      <c r="C17" s="169"/>
      <c r="D17" s="169"/>
      <c r="E17" s="170"/>
      <c r="F17" s="171"/>
      <c r="G17" s="171"/>
      <c r="H17" s="172"/>
    </row>
    <row r="18" spans="2:17" s="142" customFormat="1" ht="47.25" customHeight="1">
      <c r="B18" s="173"/>
      <c r="C18" s="464" t="s">
        <v>169</v>
      </c>
      <c r="D18" s="464"/>
      <c r="E18" s="464"/>
      <c r="F18" s="464"/>
      <c r="G18" s="174"/>
      <c r="H18" s="175"/>
    </row>
    <row r="19" spans="2:17" s="142" customFormat="1" ht="114.75" customHeight="1">
      <c r="B19" s="173"/>
      <c r="C19" s="465" t="s">
        <v>297</v>
      </c>
      <c r="D19" s="465"/>
      <c r="E19" s="465"/>
      <c r="F19" s="465"/>
      <c r="G19" s="465"/>
      <c r="H19" s="175"/>
    </row>
    <row r="20" spans="2:17" s="142" customFormat="1" ht="16.5">
      <c r="B20" s="176"/>
      <c r="C20" s="177"/>
      <c r="D20" s="178"/>
      <c r="E20" s="179"/>
      <c r="F20" s="179"/>
      <c r="G20" s="179"/>
      <c r="H20" s="151"/>
      <c r="J20" s="152"/>
      <c r="K20" s="152"/>
      <c r="L20" s="152"/>
      <c r="M20" s="152"/>
      <c r="N20" s="152"/>
      <c r="O20" s="152"/>
      <c r="P20" s="152"/>
      <c r="Q20" s="152"/>
    </row>
    <row r="21" spans="2:17" s="142" customFormat="1" ht="21.75" customHeight="1" thickBot="1">
      <c r="B21" s="173"/>
      <c r="C21" s="180" t="s">
        <v>129</v>
      </c>
      <c r="D21" s="181"/>
      <c r="E21" s="181"/>
      <c r="F21" s="181"/>
      <c r="G21" s="181"/>
      <c r="H21" s="175"/>
    </row>
    <row r="22" spans="2:17" s="142" customFormat="1" ht="27.75" customHeight="1">
      <c r="B22" s="176"/>
      <c r="C22" s="182"/>
      <c r="D22" s="298" t="s">
        <v>118</v>
      </c>
      <c r="E22" s="298" t="s">
        <v>267</v>
      </c>
      <c r="F22" s="184" t="s">
        <v>0</v>
      </c>
      <c r="G22" s="185" t="s">
        <v>3</v>
      </c>
      <c r="H22" s="175"/>
    </row>
    <row r="23" spans="2:17" s="142" customFormat="1" ht="16.5">
      <c r="B23" s="176"/>
      <c r="C23" s="190" t="s">
        <v>157</v>
      </c>
      <c r="D23" s="274">
        <v>200000</v>
      </c>
      <c r="E23" s="274">
        <v>300000</v>
      </c>
      <c r="F23" s="299" t="s">
        <v>51</v>
      </c>
      <c r="G23" s="288" t="s">
        <v>220</v>
      </c>
      <c r="H23" s="175"/>
    </row>
    <row r="24" spans="2:17" s="142" customFormat="1" ht="16.5">
      <c r="B24" s="186"/>
      <c r="C24" s="196" t="s">
        <v>170</v>
      </c>
      <c r="D24" s="433" t="s">
        <v>11</v>
      </c>
      <c r="E24" s="434"/>
      <c r="F24" s="188"/>
      <c r="G24" s="288" t="s">
        <v>220</v>
      </c>
      <c r="H24" s="175"/>
    </row>
    <row r="25" spans="2:17" s="142" customFormat="1" ht="30" customHeight="1">
      <c r="B25" s="176"/>
      <c r="C25" s="197" t="s">
        <v>162</v>
      </c>
      <c r="D25" s="275">
        <v>10</v>
      </c>
      <c r="E25" s="275">
        <v>12</v>
      </c>
      <c r="F25" s="198" t="s">
        <v>52</v>
      </c>
      <c r="G25" s="288" t="s">
        <v>220</v>
      </c>
      <c r="H25" s="175"/>
    </row>
    <row r="26" spans="2:17" s="142" customFormat="1" ht="30" customHeight="1">
      <c r="B26" s="186"/>
      <c r="C26" s="301" t="s">
        <v>36</v>
      </c>
      <c r="D26" s="275">
        <v>1.3</v>
      </c>
      <c r="E26" s="275">
        <v>0.3</v>
      </c>
      <c r="F26" s="194" t="s">
        <v>52</v>
      </c>
      <c r="G26" s="288" t="s">
        <v>220</v>
      </c>
      <c r="H26" s="175"/>
    </row>
    <row r="27" spans="2:17" s="142" customFormat="1" ht="16.5">
      <c r="B27" s="176"/>
      <c r="C27" s="193" t="s">
        <v>171</v>
      </c>
      <c r="D27" s="275" t="s">
        <v>69</v>
      </c>
      <c r="E27" s="324"/>
      <c r="F27" s="194"/>
      <c r="G27" s="288" t="s">
        <v>220</v>
      </c>
      <c r="H27" s="175"/>
    </row>
    <row r="28" spans="2:17" s="142" customFormat="1" ht="28.5" customHeight="1">
      <c r="B28" s="176"/>
      <c r="C28" s="201" t="s">
        <v>160</v>
      </c>
      <c r="D28" s="460">
        <f>VLOOKUP(D24,'GER-waarden'!B6:C25,2,FALSE)</f>
        <v>75.099999999999994</v>
      </c>
      <c r="E28" s="460"/>
      <c r="F28" s="202" t="s">
        <v>1</v>
      </c>
      <c r="G28" s="206" t="s">
        <v>68</v>
      </c>
      <c r="H28" s="175"/>
      <c r="I28" s="204"/>
    </row>
    <row r="29" spans="2:17" s="142" customFormat="1" ht="17.25" thickBot="1">
      <c r="B29" s="176"/>
      <c r="C29" s="209" t="s">
        <v>38</v>
      </c>
      <c r="D29" s="463">
        <f>(IF(D27="Recyclen bij andere verwerker",0,VLOOKUP(D24,'GER-waarden'!B58:D70,(IF(D27="Verbranding in AVI",2,3)),TRUE)))</f>
        <v>-16.3</v>
      </c>
      <c r="E29" s="463"/>
      <c r="F29" s="210" t="s">
        <v>1</v>
      </c>
      <c r="G29" s="211" t="s">
        <v>68</v>
      </c>
      <c r="H29" s="175"/>
    </row>
    <row r="30" spans="2:17" s="142" customFormat="1" ht="16.5">
      <c r="B30" s="176"/>
      <c r="C30" s="212"/>
      <c r="D30" s="212"/>
      <c r="E30" s="212"/>
      <c r="F30" s="212"/>
      <c r="G30" s="212"/>
      <c r="H30" s="175"/>
    </row>
    <row r="31" spans="2:17" s="142" customFormat="1" ht="17.25" thickBot="1">
      <c r="B31" s="176"/>
      <c r="C31" s="213" t="s">
        <v>130</v>
      </c>
      <c r="D31" s="214"/>
      <c r="E31" s="214"/>
      <c r="F31" s="215"/>
      <c r="G31" s="216"/>
      <c r="H31" s="175"/>
    </row>
    <row r="32" spans="2:17" s="142" customFormat="1" ht="23.25" customHeight="1">
      <c r="B32" s="176"/>
      <c r="C32" s="217"/>
      <c r="D32" s="218" t="s">
        <v>118</v>
      </c>
      <c r="E32" s="218" t="s">
        <v>270</v>
      </c>
      <c r="F32" s="219" t="s">
        <v>0</v>
      </c>
      <c r="G32" s="220" t="s">
        <v>3</v>
      </c>
      <c r="H32" s="175"/>
    </row>
    <row r="33" spans="2:18" s="142" customFormat="1" ht="14.25" customHeight="1">
      <c r="B33" s="176"/>
      <c r="C33" s="221" t="s">
        <v>133</v>
      </c>
      <c r="D33" s="296">
        <v>0</v>
      </c>
      <c r="E33" s="296">
        <v>0</v>
      </c>
      <c r="F33" s="287" t="s">
        <v>131</v>
      </c>
      <c r="G33" s="288" t="s">
        <v>220</v>
      </c>
      <c r="H33" s="175"/>
    </row>
    <row r="34" spans="2:18" s="142" customFormat="1" ht="14.25" customHeight="1">
      <c r="B34" s="176"/>
      <c r="C34" s="289" t="s">
        <v>134</v>
      </c>
      <c r="D34" s="296">
        <v>0</v>
      </c>
      <c r="E34" s="296">
        <v>0</v>
      </c>
      <c r="F34" s="225" t="s">
        <v>132</v>
      </c>
      <c r="G34" s="288" t="s">
        <v>220</v>
      </c>
      <c r="H34" s="175"/>
    </row>
    <row r="35" spans="2:18" s="142" customFormat="1" ht="14.25" customHeight="1">
      <c r="B35" s="176"/>
      <c r="C35" s="221" t="s">
        <v>79</v>
      </c>
      <c r="D35" s="455">
        <v>11.3</v>
      </c>
      <c r="E35" s="456"/>
      <c r="F35" s="290" t="s">
        <v>82</v>
      </c>
      <c r="G35" s="228" t="s">
        <v>68</v>
      </c>
      <c r="H35" s="175"/>
      <c r="J35" s="229"/>
    </row>
    <row r="36" spans="2:18" s="142" customFormat="1" ht="14.25" customHeight="1">
      <c r="B36" s="176"/>
      <c r="C36" s="325" t="s">
        <v>80</v>
      </c>
      <c r="D36" s="488">
        <v>45.2</v>
      </c>
      <c r="E36" s="458"/>
      <c r="F36" s="292" t="s">
        <v>81</v>
      </c>
      <c r="G36" s="232" t="s">
        <v>68</v>
      </c>
      <c r="H36" s="175"/>
      <c r="J36" s="229"/>
      <c r="L36" s="152"/>
    </row>
    <row r="37" spans="2:18" s="142" customFormat="1" ht="16.5">
      <c r="B37" s="176"/>
      <c r="C37" s="233" t="s">
        <v>193</v>
      </c>
      <c r="D37" s="214"/>
      <c r="E37" s="214"/>
      <c r="F37" s="215"/>
      <c r="G37" s="216"/>
      <c r="H37" s="175"/>
    </row>
    <row r="38" spans="2:18" s="142" customFormat="1" ht="17.25" customHeight="1">
      <c r="B38" s="176"/>
      <c r="C38" s="212"/>
      <c r="D38" s="234"/>
      <c r="E38" s="234"/>
      <c r="F38" s="234"/>
      <c r="G38" s="214"/>
      <c r="H38" s="175"/>
    </row>
    <row r="39" spans="2:18" s="142" customFormat="1" ht="17.25" customHeight="1" thickBot="1">
      <c r="B39" s="176"/>
      <c r="C39" s="235" t="s">
        <v>75</v>
      </c>
      <c r="D39" s="234"/>
      <c r="E39" s="234"/>
      <c r="F39" s="234"/>
      <c r="G39" s="214"/>
      <c r="H39" s="175"/>
    </row>
    <row r="40" spans="2:18" s="142" customFormat="1" ht="16.5">
      <c r="B40" s="176"/>
      <c r="C40" s="236" t="s">
        <v>260</v>
      </c>
      <c r="D40" s="237"/>
      <c r="E40" s="237"/>
      <c r="F40" s="238"/>
      <c r="G40" s="239"/>
      <c r="H40" s="175"/>
    </row>
    <row r="41" spans="2:18" s="142" customFormat="1" ht="51" customHeight="1">
      <c r="B41" s="176"/>
      <c r="C41" s="495" t="s">
        <v>46</v>
      </c>
      <c r="D41" s="496"/>
      <c r="E41" s="496"/>
      <c r="F41" s="251">
        <f>IFERROR((D25*D28)+(D26*D29),"nvt")</f>
        <v>729.81</v>
      </c>
      <c r="G41" s="311" t="s">
        <v>76</v>
      </c>
      <c r="H41" s="175"/>
    </row>
    <row r="42" spans="2:18" s="142" customFormat="1" ht="51" customHeight="1">
      <c r="B42" s="176"/>
      <c r="C42" s="483" t="s">
        <v>190</v>
      </c>
      <c r="D42" s="484"/>
      <c r="E42" s="484"/>
      <c r="F42" s="310">
        <f>((D34*D35)+(D33*D36))/1000</f>
        <v>0</v>
      </c>
      <c r="G42" s="316" t="s">
        <v>76</v>
      </c>
      <c r="H42" s="175"/>
    </row>
    <row r="43" spans="2:18" s="142" customFormat="1" ht="35.450000000000003" customHeight="1" thickBot="1">
      <c r="B43" s="176"/>
      <c r="C43" s="489" t="s">
        <v>28</v>
      </c>
      <c r="D43" s="490"/>
      <c r="E43" s="490"/>
      <c r="F43" s="326">
        <f>IFERROR((F41+F42)/D23,"nvt")</f>
        <v>3.6490499999999996E-3</v>
      </c>
      <c r="G43" s="243" t="s">
        <v>165</v>
      </c>
      <c r="H43" s="175"/>
    </row>
    <row r="44" spans="2:18" s="142" customFormat="1" ht="16.5">
      <c r="B44" s="176"/>
      <c r="C44" s="445" t="s">
        <v>282</v>
      </c>
      <c r="D44" s="446"/>
      <c r="E44" s="446"/>
      <c r="F44" s="245"/>
      <c r="G44" s="246"/>
      <c r="H44" s="175"/>
      <c r="R44" s="204"/>
    </row>
    <row r="45" spans="2:18" s="142" customFormat="1" ht="54.6" customHeight="1">
      <c r="B45" s="176"/>
      <c r="C45" s="495" t="s">
        <v>276</v>
      </c>
      <c r="D45" s="496"/>
      <c r="E45" s="496"/>
      <c r="F45" s="308">
        <f>IFERROR((E25*D28)+(E26*D29),"nvt")</f>
        <v>896.31</v>
      </c>
      <c r="G45" s="309" t="s">
        <v>76</v>
      </c>
      <c r="H45" s="175"/>
    </row>
    <row r="46" spans="2:18" s="142" customFormat="1" ht="45.6" customHeight="1">
      <c r="B46" s="176"/>
      <c r="C46" s="493" t="s">
        <v>277</v>
      </c>
      <c r="D46" s="494"/>
      <c r="E46" s="494"/>
      <c r="F46" s="310">
        <f>((E33*D36)+(E34*D35))/1000</f>
        <v>0</v>
      </c>
      <c r="G46" s="316" t="s">
        <v>76</v>
      </c>
      <c r="H46" s="175"/>
    </row>
    <row r="47" spans="2:18" s="142" customFormat="1" ht="38.450000000000003" customHeight="1" thickBot="1">
      <c r="B47" s="176"/>
      <c r="C47" s="489" t="s">
        <v>274</v>
      </c>
      <c r="D47" s="490"/>
      <c r="E47" s="490"/>
      <c r="F47" s="326">
        <f>IFERROR((F45+F46)/E23,"nvt")</f>
        <v>2.9876999999999998E-3</v>
      </c>
      <c r="G47" s="243" t="s">
        <v>165</v>
      </c>
      <c r="H47" s="318"/>
    </row>
    <row r="48" spans="2:18" s="142" customFormat="1" ht="16.5">
      <c r="B48" s="176"/>
      <c r="C48" s="319" t="s">
        <v>74</v>
      </c>
      <c r="D48" s="237"/>
      <c r="E48" s="237"/>
      <c r="F48" s="245"/>
      <c r="G48" s="239"/>
      <c r="H48" s="175"/>
    </row>
    <row r="49" spans="2:10" s="142" customFormat="1" ht="16.5">
      <c r="B49" s="176"/>
      <c r="C49" s="485" t="s">
        <v>275</v>
      </c>
      <c r="D49" s="486"/>
      <c r="E49" s="486"/>
      <c r="F49" s="327">
        <f>IFERROR(F43-F47,"nvt")</f>
        <v>6.6134999999999979E-4</v>
      </c>
      <c r="G49" s="309" t="s">
        <v>165</v>
      </c>
      <c r="H49" s="175"/>
      <c r="J49" s="152"/>
    </row>
    <row r="50" spans="2:10" s="142" customFormat="1" ht="38.450000000000003" customHeight="1" thickBot="1">
      <c r="B50" s="176"/>
      <c r="C50" s="481" t="s">
        <v>24</v>
      </c>
      <c r="D50" s="482"/>
      <c r="E50" s="313"/>
      <c r="F50" s="314">
        <f>IFERROR(F49*E23,"nvt")</f>
        <v>198.40499999999994</v>
      </c>
      <c r="G50" s="243" t="s">
        <v>76</v>
      </c>
      <c r="H50" s="175"/>
    </row>
    <row r="51" spans="2:10" s="142" customFormat="1" ht="17.25" thickBot="1">
      <c r="B51" s="176"/>
      <c r="C51" s="212"/>
      <c r="D51" s="214"/>
      <c r="E51" s="214"/>
      <c r="F51" s="255"/>
      <c r="G51" s="214"/>
      <c r="H51" s="175"/>
    </row>
    <row r="52" spans="2:10" s="142" customFormat="1" ht="18" customHeight="1" thickBot="1">
      <c r="B52" s="176"/>
      <c r="C52" s="256" t="s">
        <v>259</v>
      </c>
      <c r="D52" s="214"/>
      <c r="E52" s="257"/>
      <c r="F52" s="258">
        <f>IFERROR(F50/1000,"nvt")</f>
        <v>0.19840499999999994</v>
      </c>
      <c r="G52" s="259" t="s">
        <v>77</v>
      </c>
      <c r="H52" s="175"/>
    </row>
    <row r="53" spans="2:10" s="142" customFormat="1" ht="16.5">
      <c r="B53" s="176"/>
      <c r="C53" s="212"/>
      <c r="D53" s="260"/>
      <c r="E53" s="449"/>
      <c r="F53" s="450"/>
      <c r="G53" s="450"/>
      <c r="H53" s="175"/>
    </row>
    <row r="54" spans="2:10" s="142" customFormat="1" ht="18" customHeight="1">
      <c r="B54" s="176"/>
      <c r="C54" s="261" t="s">
        <v>128</v>
      </c>
      <c r="D54" s="262"/>
      <c r="E54" s="263"/>
      <c r="F54" s="262"/>
      <c r="G54" s="264"/>
      <c r="H54" s="175"/>
    </row>
    <row r="55" spans="2:10" s="142" customFormat="1" ht="51.75" customHeight="1">
      <c r="B55" s="176"/>
      <c r="C55" s="438" t="s">
        <v>172</v>
      </c>
      <c r="D55" s="436"/>
      <c r="E55" s="436"/>
      <c r="F55" s="436"/>
      <c r="G55" s="437"/>
      <c r="H55" s="175"/>
    </row>
    <row r="56" spans="2:10" s="142" customFormat="1" ht="16.5">
      <c r="B56" s="176"/>
      <c r="C56" s="265"/>
      <c r="D56" s="266"/>
      <c r="E56" s="266"/>
      <c r="F56" s="266"/>
      <c r="G56" s="266"/>
      <c r="H56" s="175"/>
    </row>
    <row r="57" spans="2:10" s="142" customFormat="1" ht="16.5">
      <c r="B57" s="176"/>
      <c r="C57" s="261" t="s">
        <v>135</v>
      </c>
      <c r="D57" s="262"/>
      <c r="E57" s="267"/>
      <c r="F57" s="268"/>
      <c r="G57" s="262"/>
      <c r="H57" s="175"/>
    </row>
    <row r="58" spans="2:10" s="142" customFormat="1" ht="91.5" customHeight="1">
      <c r="B58" s="269"/>
      <c r="C58" s="435" t="s">
        <v>137</v>
      </c>
      <c r="D58" s="436"/>
      <c r="E58" s="436"/>
      <c r="F58" s="436"/>
      <c r="G58" s="437"/>
      <c r="H58" s="175"/>
      <c r="J58" s="270"/>
    </row>
    <row r="59" spans="2:10" s="142" customFormat="1" ht="15" customHeight="1" thickBot="1">
      <c r="B59" s="271"/>
      <c r="C59" s="272"/>
      <c r="D59" s="272"/>
      <c r="E59" s="272"/>
      <c r="F59" s="272"/>
      <c r="G59" s="272"/>
      <c r="H59" s="273"/>
    </row>
    <row r="60" spans="2:10" s="142" customFormat="1" ht="15" customHeight="1"/>
    <row r="61" spans="2:10" ht="37.5" customHeight="1"/>
  </sheetData>
  <protectedRanges>
    <protectedRange sqref="D23:E23 D28:E29 D25:E26" name="Bereik1_4_3"/>
    <protectedRange sqref="D27" name="Bereik1"/>
  </protectedRanges>
  <mergeCells count="29">
    <mergeCell ref="D14:G14"/>
    <mergeCell ref="D13:G13"/>
    <mergeCell ref="E53:G53"/>
    <mergeCell ref="C55:G55"/>
    <mergeCell ref="C58:G58"/>
    <mergeCell ref="C42:E42"/>
    <mergeCell ref="C46:E46"/>
    <mergeCell ref="C45:E45"/>
    <mergeCell ref="C49:E49"/>
    <mergeCell ref="C50:D50"/>
    <mergeCell ref="C47:E47"/>
    <mergeCell ref="C18:F18"/>
    <mergeCell ref="C19:G19"/>
    <mergeCell ref="D24:E24"/>
    <mergeCell ref="C41:E41"/>
    <mergeCell ref="C44:E44"/>
    <mergeCell ref="D28:E28"/>
    <mergeCell ref="D29:E29"/>
    <mergeCell ref="D35:E35"/>
    <mergeCell ref="D36:E36"/>
    <mergeCell ref="C43:E43"/>
    <mergeCell ref="D10:G10"/>
    <mergeCell ref="D11:G11"/>
    <mergeCell ref="D12:G12"/>
    <mergeCell ref="D4:G4"/>
    <mergeCell ref="D5:G5"/>
    <mergeCell ref="D6:G6"/>
    <mergeCell ref="D8:G8"/>
    <mergeCell ref="D9:G9"/>
  </mergeCells>
  <phoneticPr fontId="0" type="noConversion"/>
  <pageMargins left="0.70866141732283472" right="0.70866141732283472" top="0.74803149606299213" bottom="0.74803149606299213" header="0.31496062992125984" footer="0.31496062992125984"/>
  <pageSetup paperSize="9" scale="70" fitToHeight="2" orientation="portrait" r:id="rId1"/>
  <extLst>
    <ext xmlns:x14="http://schemas.microsoft.com/office/spreadsheetml/2009/9/main" uri="{CCE6A557-97BC-4b89-ADB6-D9C93CAAB3DF}">
      <x14:dataValidations xmlns:xm="http://schemas.microsoft.com/office/excel/2006/main" count="2">
        <x14:dataValidation type="list" allowBlank="1" showInputMessage="1">
          <x14:formula1>
            <xm:f>'GER-waarden'!$B$112:$B$119</xm:f>
          </x14:formula1>
          <xm:sqref>D24:E24</xm:sqref>
        </x14:dataValidation>
        <x14:dataValidation type="list" allowBlank="1" showInputMessage="1" showErrorMessage="1">
          <x14:formula1>
            <xm:f>'GER-waarden'!$E$156:$E$157</xm:f>
          </x14:formula1>
          <xm:sqref>D27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enableFormatConditionsCalculation="0">
    <pageSetUpPr fitToPage="1"/>
  </sheetPr>
  <dimension ref="A1:I122"/>
  <sheetViews>
    <sheetView workbookViewId="0">
      <selection activeCell="G11" sqref="G11"/>
    </sheetView>
  </sheetViews>
  <sheetFormatPr defaultRowHeight="12.75"/>
  <cols>
    <col min="1" max="2" width="3.7109375" customWidth="1"/>
    <col min="3" max="3" width="38" customWidth="1"/>
    <col min="4" max="4" width="21.85546875" customWidth="1"/>
    <col min="5" max="5" width="21.28515625" customWidth="1"/>
    <col min="6" max="6" width="13.140625" customWidth="1"/>
    <col min="7" max="7" width="22.42578125" customWidth="1"/>
    <col min="8" max="8" width="3.7109375" customWidth="1"/>
  </cols>
  <sheetData>
    <row r="1" spans="2:8" s="1" customFormat="1" ht="20.100000000000001" customHeight="1" thickBot="1">
      <c r="B1" s="2"/>
      <c r="C1" s="2"/>
    </row>
    <row r="2" spans="2:8" s="1" customFormat="1" ht="12" customHeight="1">
      <c r="B2" s="4"/>
      <c r="C2" s="5"/>
      <c r="D2" s="5"/>
      <c r="E2" s="6"/>
      <c r="F2" s="7"/>
      <c r="G2" s="7"/>
      <c r="H2" s="8"/>
    </row>
    <row r="3" spans="2:8" s="1" customFormat="1" ht="52.5" customHeight="1">
      <c r="B3" s="9"/>
      <c r="C3" s="503" t="s">
        <v>50</v>
      </c>
      <c r="D3" s="504"/>
      <c r="E3" s="504"/>
      <c r="F3" s="504"/>
      <c r="G3" s="10"/>
      <c r="H3" s="11"/>
    </row>
    <row r="4" spans="2:8" s="1" customFormat="1" ht="87.75" customHeight="1">
      <c r="B4" s="9"/>
      <c r="C4" s="505" t="s">
        <v>45</v>
      </c>
      <c r="D4" s="506"/>
      <c r="E4" s="506"/>
      <c r="F4" s="506"/>
      <c r="G4" s="507"/>
      <c r="H4" s="11"/>
    </row>
    <row r="5" spans="2:8" s="1" customFormat="1" ht="17.25" customHeight="1">
      <c r="B5" s="9"/>
      <c r="C5" s="19" t="s">
        <v>6</v>
      </c>
      <c r="D5" s="13"/>
      <c r="E5" s="13"/>
      <c r="F5" s="13"/>
      <c r="G5" s="14"/>
      <c r="H5" s="11"/>
    </row>
    <row r="6" spans="2:8" s="1" customFormat="1" ht="14.25" customHeight="1">
      <c r="B6" s="15"/>
      <c r="C6" s="27"/>
      <c r="D6" s="31" t="s">
        <v>54</v>
      </c>
      <c r="E6" s="31" t="s">
        <v>2</v>
      </c>
      <c r="F6" s="31" t="s">
        <v>0</v>
      </c>
      <c r="G6" s="31" t="s">
        <v>3</v>
      </c>
      <c r="H6" s="11"/>
    </row>
    <row r="7" spans="2:8" s="1" customFormat="1" ht="14.25" customHeight="1">
      <c r="B7" s="15"/>
      <c r="C7" s="24" t="s">
        <v>22</v>
      </c>
      <c r="D7" s="28">
        <v>175000</v>
      </c>
      <c r="E7" s="28">
        <v>180000</v>
      </c>
      <c r="F7" s="24" t="s">
        <v>51</v>
      </c>
      <c r="G7" s="24" t="s">
        <v>4</v>
      </c>
      <c r="H7" s="11"/>
    </row>
    <row r="8" spans="2:8" s="1" customFormat="1" ht="14.25" customHeight="1">
      <c r="B8" s="15"/>
      <c r="C8" s="24" t="s">
        <v>10</v>
      </c>
      <c r="D8" s="29">
        <v>175</v>
      </c>
      <c r="E8" s="29">
        <v>176.4</v>
      </c>
      <c r="F8" s="24" t="s">
        <v>52</v>
      </c>
      <c r="G8" s="24" t="s">
        <v>5</v>
      </c>
      <c r="H8" s="11"/>
    </row>
    <row r="9" spans="2:8" s="1" customFormat="1" ht="14.25" customHeight="1">
      <c r="B9" s="15"/>
      <c r="C9" s="24" t="s">
        <v>21</v>
      </c>
      <c r="D9" s="30" t="s">
        <v>15</v>
      </c>
      <c r="E9" s="30" t="s">
        <v>15</v>
      </c>
      <c r="F9" s="24" t="s">
        <v>12</v>
      </c>
      <c r="G9" s="25" t="s">
        <v>9</v>
      </c>
      <c r="H9" s="11"/>
    </row>
    <row r="10" spans="2:8" s="1" customFormat="1" ht="14.25" customHeight="1">
      <c r="B10" s="15"/>
      <c r="C10" s="24" t="s">
        <v>34</v>
      </c>
      <c r="D10" s="29">
        <v>87.8</v>
      </c>
      <c r="E10" s="29">
        <v>87.8</v>
      </c>
      <c r="F10" s="24" t="s">
        <v>8</v>
      </c>
      <c r="G10" s="25" t="s">
        <v>55</v>
      </c>
      <c r="H10" s="11"/>
    </row>
    <row r="11" spans="2:8" s="1" customFormat="1" ht="19.5" customHeight="1">
      <c r="B11" s="15"/>
      <c r="C11" s="18"/>
      <c r="D11" s="16"/>
      <c r="E11" s="16"/>
      <c r="F11" s="16"/>
      <c r="G11" s="16"/>
      <c r="H11" s="11"/>
    </row>
    <row r="12" spans="2:8" s="1" customFormat="1" ht="20.25" customHeight="1">
      <c r="B12" s="15"/>
      <c r="C12" s="39" t="s">
        <v>27</v>
      </c>
      <c r="D12" s="40"/>
      <c r="E12" s="40"/>
      <c r="F12" s="40"/>
      <c r="G12" s="42"/>
      <c r="H12" s="11"/>
    </row>
    <row r="13" spans="2:8" s="1" customFormat="1" ht="27" customHeight="1">
      <c r="B13" s="15"/>
      <c r="C13" s="508" t="s">
        <v>32</v>
      </c>
      <c r="D13" s="509"/>
      <c r="E13" s="509"/>
      <c r="F13" s="33">
        <f>D8*D10</f>
        <v>15365</v>
      </c>
      <c r="G13" s="34" t="s">
        <v>42</v>
      </c>
      <c r="H13" s="11"/>
    </row>
    <row r="14" spans="2:8" s="1" customFormat="1" ht="29.25" customHeight="1">
      <c r="B14" s="15"/>
      <c r="C14" s="508" t="s">
        <v>28</v>
      </c>
      <c r="D14" s="510"/>
      <c r="E14" s="510"/>
      <c r="F14" s="35">
        <f>F13/D7</f>
        <v>8.7800000000000003E-2</v>
      </c>
      <c r="G14" s="34" t="s">
        <v>40</v>
      </c>
      <c r="H14" s="11"/>
    </row>
    <row r="15" spans="2:8" s="1" customFormat="1" ht="20.25" customHeight="1">
      <c r="B15" s="15"/>
      <c r="C15" s="39" t="s">
        <v>29</v>
      </c>
      <c r="D15" s="40"/>
      <c r="E15" s="40"/>
      <c r="F15" s="41"/>
      <c r="G15" s="42"/>
      <c r="H15" s="11"/>
    </row>
    <row r="16" spans="2:8" s="1" customFormat="1" ht="30.75" customHeight="1">
      <c r="B16" s="15"/>
      <c r="C16" s="508" t="s">
        <v>33</v>
      </c>
      <c r="D16" s="510"/>
      <c r="E16" s="510"/>
      <c r="F16" s="33">
        <f>E8*E10</f>
        <v>15487.92</v>
      </c>
      <c r="G16" s="34" t="s">
        <v>42</v>
      </c>
      <c r="H16" s="11"/>
    </row>
    <row r="17" spans="1:9" s="1" customFormat="1" ht="29.25" customHeight="1">
      <c r="B17" s="15"/>
      <c r="C17" s="508" t="s">
        <v>30</v>
      </c>
      <c r="D17" s="510"/>
      <c r="E17" s="510"/>
      <c r="F17" s="35">
        <f>F16/E7</f>
        <v>8.6043999999999995E-2</v>
      </c>
      <c r="G17" s="34" t="s">
        <v>40</v>
      </c>
      <c r="H17" s="11"/>
    </row>
    <row r="18" spans="1:9" s="1" customFormat="1" ht="19.5" customHeight="1">
      <c r="B18" s="15"/>
      <c r="C18" s="39" t="s">
        <v>7</v>
      </c>
      <c r="D18" s="40"/>
      <c r="E18" s="40"/>
      <c r="F18" s="44"/>
      <c r="G18" s="42"/>
      <c r="H18" s="11"/>
    </row>
    <row r="19" spans="1:9" s="1" customFormat="1" ht="31.5" customHeight="1">
      <c r="B19" s="15"/>
      <c r="C19" s="508" t="s">
        <v>31</v>
      </c>
      <c r="D19" s="511"/>
      <c r="E19" s="43"/>
      <c r="F19" s="35">
        <f>F14-F17</f>
        <v>1.7560000000000076E-3</v>
      </c>
      <c r="G19" s="34" t="s">
        <v>40</v>
      </c>
      <c r="H19" s="11"/>
    </row>
    <row r="20" spans="1:9" s="1" customFormat="1" ht="31.5" customHeight="1" thickBot="1">
      <c r="B20" s="15"/>
      <c r="C20" s="512" t="s">
        <v>24</v>
      </c>
      <c r="D20" s="513"/>
      <c r="E20" s="45"/>
      <c r="F20" s="46">
        <f>F19*E7</f>
        <v>316.08000000000135</v>
      </c>
      <c r="G20" s="34" t="s">
        <v>42</v>
      </c>
      <c r="H20" s="11"/>
    </row>
    <row r="21" spans="1:9" s="1" customFormat="1" ht="18" customHeight="1" thickBot="1">
      <c r="B21" s="15"/>
      <c r="C21" s="47"/>
      <c r="D21" s="47"/>
      <c r="E21" s="36" t="s">
        <v>35</v>
      </c>
      <c r="F21" s="37">
        <f>F20/1000</f>
        <v>0.31608000000000136</v>
      </c>
      <c r="G21" s="38" t="s">
        <v>43</v>
      </c>
      <c r="H21" s="11"/>
    </row>
    <row r="22" spans="1:9" s="1" customFormat="1" ht="14.25">
      <c r="B22" s="15"/>
      <c r="C22" s="47"/>
      <c r="D22" s="48"/>
      <c r="E22" s="49"/>
      <c r="F22" s="50"/>
      <c r="G22" s="51" t="s">
        <v>49</v>
      </c>
      <c r="H22" s="11"/>
    </row>
    <row r="23" spans="1:9" s="1" customFormat="1" ht="18" customHeight="1">
      <c r="B23" s="15"/>
      <c r="C23" s="16"/>
      <c r="D23" s="16"/>
      <c r="E23" s="16"/>
      <c r="F23" s="16"/>
      <c r="G23" s="21"/>
      <c r="H23" s="11"/>
    </row>
    <row r="24" spans="1:9" s="1" customFormat="1" ht="64.5" customHeight="1">
      <c r="B24" s="15"/>
      <c r="C24" s="497" t="s">
        <v>48</v>
      </c>
      <c r="D24" s="498"/>
      <c r="E24" s="498"/>
      <c r="F24" s="498"/>
      <c r="G24" s="499"/>
      <c r="H24" s="11"/>
    </row>
    <row r="25" spans="1:9" s="1" customFormat="1" ht="14.25">
      <c r="B25" s="15"/>
      <c r="C25" s="16"/>
      <c r="D25" s="16"/>
      <c r="E25" s="13"/>
      <c r="F25" s="20"/>
      <c r="G25" s="32"/>
      <c r="H25" s="11"/>
    </row>
    <row r="26" spans="1:9" s="1" customFormat="1" ht="56.25" customHeight="1">
      <c r="B26" s="17"/>
      <c r="C26" s="500" t="s">
        <v>44</v>
      </c>
      <c r="D26" s="501"/>
      <c r="E26" s="501"/>
      <c r="F26" s="501"/>
      <c r="G26" s="502"/>
      <c r="H26" s="11"/>
    </row>
    <row r="27" spans="1:9" s="1" customFormat="1" ht="14.25" customHeight="1">
      <c r="B27" s="15"/>
      <c r="C27" s="19"/>
      <c r="D27" s="12"/>
      <c r="E27" s="12"/>
      <c r="F27" s="12"/>
      <c r="G27" s="12"/>
      <c r="H27" s="11"/>
    </row>
    <row r="28" spans="1:9" s="1" customFormat="1" ht="14.25" customHeight="1" thickBot="1">
      <c r="B28" s="26"/>
      <c r="C28" s="22"/>
      <c r="D28" s="22"/>
      <c r="E28" s="22"/>
      <c r="F28" s="22"/>
      <c r="G28" s="22"/>
      <c r="H28" s="23"/>
    </row>
    <row r="29" spans="1:9" s="1" customFormat="1" ht="21" customHeight="1">
      <c r="B29" s="3"/>
      <c r="C29" s="3"/>
      <c r="H29" s="3"/>
    </row>
    <row r="30" spans="1:9" s="1" customFormat="1">
      <c r="A30" s="3"/>
      <c r="B30" s="3"/>
      <c r="C30" s="3"/>
      <c r="H30" s="3"/>
      <c r="I30" s="3"/>
    </row>
    <row r="31" spans="1:9" s="1" customFormat="1" ht="27.75" customHeight="1">
      <c r="A31" s="3"/>
      <c r="I31" s="3"/>
    </row>
    <row r="32" spans="1:9" s="1" customFormat="1"/>
    <row r="33" s="1" customFormat="1"/>
    <row r="34" s="1" customFormat="1" ht="37.5" customHeigh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pans="2:8" s="1" customFormat="1"/>
    <row r="98" spans="2:8" s="1" customFormat="1"/>
    <row r="99" spans="2:8" s="1" customFormat="1"/>
    <row r="100" spans="2:8" s="1" customFormat="1"/>
    <row r="101" spans="2:8" s="1" customFormat="1"/>
    <row r="102" spans="2:8" s="1" customFormat="1"/>
    <row r="103" spans="2:8" s="1" customFormat="1"/>
    <row r="104" spans="2:8" s="1" customFormat="1"/>
    <row r="105" spans="2:8" s="1" customFormat="1"/>
    <row r="106" spans="2:8" s="1" customFormat="1"/>
    <row r="107" spans="2:8" s="1" customFormat="1"/>
    <row r="108" spans="2:8" s="1" customFormat="1"/>
    <row r="109" spans="2:8" s="1" customFormat="1"/>
    <row r="110" spans="2:8" s="1" customFormat="1">
      <c r="C110"/>
      <c r="D110"/>
      <c r="E110"/>
      <c r="F110"/>
      <c r="G110"/>
    </row>
    <row r="111" spans="2:8" s="1" customFormat="1">
      <c r="C111"/>
      <c r="D111"/>
      <c r="E111"/>
      <c r="F111"/>
      <c r="G111"/>
    </row>
    <row r="112" spans="2:8" s="1" customFormat="1">
      <c r="B112"/>
      <c r="C112"/>
      <c r="D112"/>
      <c r="E112"/>
      <c r="F112"/>
      <c r="G112"/>
      <c r="H112"/>
    </row>
    <row r="113" spans="2:8" s="1" customFormat="1">
      <c r="B113"/>
      <c r="C113"/>
      <c r="D113"/>
      <c r="E113"/>
      <c r="F113"/>
      <c r="G113"/>
      <c r="H113"/>
    </row>
    <row r="114" spans="2:8" s="1" customFormat="1">
      <c r="B114"/>
      <c r="C114"/>
      <c r="D114"/>
      <c r="E114"/>
      <c r="F114"/>
      <c r="G114"/>
      <c r="H114"/>
    </row>
    <row r="115" spans="2:8" s="1" customFormat="1">
      <c r="B115"/>
      <c r="C115"/>
      <c r="D115"/>
      <c r="E115"/>
      <c r="F115"/>
      <c r="G115"/>
      <c r="H115"/>
    </row>
    <row r="116" spans="2:8" s="1" customFormat="1">
      <c r="B116"/>
      <c r="C116"/>
      <c r="D116"/>
      <c r="E116"/>
      <c r="F116"/>
      <c r="G116"/>
      <c r="H116"/>
    </row>
    <row r="117" spans="2:8" s="1" customFormat="1">
      <c r="B117"/>
      <c r="C117"/>
      <c r="D117"/>
      <c r="E117"/>
      <c r="F117"/>
      <c r="G117"/>
      <c r="H117"/>
    </row>
    <row r="118" spans="2:8" s="1" customFormat="1">
      <c r="B118"/>
      <c r="C118"/>
      <c r="D118"/>
      <c r="E118"/>
      <c r="F118"/>
      <c r="G118"/>
      <c r="H118"/>
    </row>
    <row r="119" spans="2:8" s="1" customFormat="1">
      <c r="B119"/>
      <c r="C119"/>
      <c r="D119"/>
      <c r="E119"/>
      <c r="F119"/>
      <c r="G119"/>
      <c r="H119"/>
    </row>
    <row r="120" spans="2:8" s="1" customFormat="1">
      <c r="B120"/>
      <c r="C120"/>
      <c r="D120"/>
      <c r="E120"/>
      <c r="F120"/>
      <c r="G120"/>
      <c r="H120"/>
    </row>
    <row r="121" spans="2:8" s="1" customFormat="1">
      <c r="B121"/>
      <c r="C121"/>
      <c r="D121"/>
      <c r="E121"/>
      <c r="F121"/>
      <c r="G121"/>
      <c r="H121"/>
    </row>
    <row r="122" spans="2:8" s="1" customFormat="1">
      <c r="B122"/>
      <c r="C122"/>
      <c r="D122"/>
      <c r="E122"/>
      <c r="F122"/>
      <c r="G122"/>
      <c r="H122"/>
    </row>
  </sheetData>
  <protectedRanges>
    <protectedRange sqref="D7:E10" name="Bereik1"/>
  </protectedRanges>
  <mergeCells count="10">
    <mergeCell ref="C24:G24"/>
    <mergeCell ref="C26:G26"/>
    <mergeCell ref="C3:F3"/>
    <mergeCell ref="C4:G4"/>
    <mergeCell ref="C13:E13"/>
    <mergeCell ref="C14:E14"/>
    <mergeCell ref="C16:E16"/>
    <mergeCell ref="C17:E17"/>
    <mergeCell ref="C19:D19"/>
    <mergeCell ref="C20:D20"/>
  </mergeCells>
  <phoneticPr fontId="3" type="noConversion"/>
  <pageMargins left="0.7" right="0.7" top="0.75" bottom="0.75" header="0.3" footer="0.3"/>
  <pageSetup paperSize="9" scale="41"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61"/>
  <sheetViews>
    <sheetView workbookViewId="0"/>
  </sheetViews>
  <sheetFormatPr defaultRowHeight="12.75"/>
  <cols>
    <col min="1" max="2" width="3.7109375" style="332" customWidth="1"/>
    <col min="3" max="3" width="38" style="332" customWidth="1"/>
    <col min="4" max="4" width="21.85546875" style="332" customWidth="1"/>
    <col min="5" max="5" width="21.28515625" style="332" customWidth="1"/>
    <col min="6" max="6" width="13.140625" style="332" customWidth="1"/>
    <col min="7" max="7" width="22.42578125" style="332" customWidth="1"/>
    <col min="8" max="8" width="3.7109375" style="332" customWidth="1"/>
    <col min="9" max="256" width="9.140625" style="332"/>
    <col min="257" max="258" width="3.7109375" style="332" customWidth="1"/>
    <col min="259" max="259" width="38" style="332" customWidth="1"/>
    <col min="260" max="260" width="21.85546875" style="332" customWidth="1"/>
    <col min="261" max="261" width="21.28515625" style="332" customWidth="1"/>
    <col min="262" max="262" width="13.140625" style="332" customWidth="1"/>
    <col min="263" max="263" width="22.42578125" style="332" customWidth="1"/>
    <col min="264" max="264" width="3.7109375" style="332" customWidth="1"/>
    <col min="265" max="512" width="9.140625" style="332"/>
    <col min="513" max="514" width="3.7109375" style="332" customWidth="1"/>
    <col min="515" max="515" width="38" style="332" customWidth="1"/>
    <col min="516" max="516" width="21.85546875" style="332" customWidth="1"/>
    <col min="517" max="517" width="21.28515625" style="332" customWidth="1"/>
    <col min="518" max="518" width="13.140625" style="332" customWidth="1"/>
    <col min="519" max="519" width="22.42578125" style="332" customWidth="1"/>
    <col min="520" max="520" width="3.7109375" style="332" customWidth="1"/>
    <col min="521" max="768" width="9.140625" style="332"/>
    <col min="769" max="770" width="3.7109375" style="332" customWidth="1"/>
    <col min="771" max="771" width="38" style="332" customWidth="1"/>
    <col min="772" max="772" width="21.85546875" style="332" customWidth="1"/>
    <col min="773" max="773" width="21.28515625" style="332" customWidth="1"/>
    <col min="774" max="774" width="13.140625" style="332" customWidth="1"/>
    <col min="775" max="775" width="22.42578125" style="332" customWidth="1"/>
    <col min="776" max="776" width="3.7109375" style="332" customWidth="1"/>
    <col min="777" max="1024" width="9.140625" style="332"/>
    <col min="1025" max="1026" width="3.7109375" style="332" customWidth="1"/>
    <col min="1027" max="1027" width="38" style="332" customWidth="1"/>
    <col min="1028" max="1028" width="21.85546875" style="332" customWidth="1"/>
    <col min="1029" max="1029" width="21.28515625" style="332" customWidth="1"/>
    <col min="1030" max="1030" width="13.140625" style="332" customWidth="1"/>
    <col min="1031" max="1031" width="22.42578125" style="332" customWidth="1"/>
    <col min="1032" max="1032" width="3.7109375" style="332" customWidth="1"/>
    <col min="1033" max="1280" width="9.140625" style="332"/>
    <col min="1281" max="1282" width="3.7109375" style="332" customWidth="1"/>
    <col min="1283" max="1283" width="38" style="332" customWidth="1"/>
    <col min="1284" max="1284" width="21.85546875" style="332" customWidth="1"/>
    <col min="1285" max="1285" width="21.28515625" style="332" customWidth="1"/>
    <col min="1286" max="1286" width="13.140625" style="332" customWidth="1"/>
    <col min="1287" max="1287" width="22.42578125" style="332" customWidth="1"/>
    <col min="1288" max="1288" width="3.7109375" style="332" customWidth="1"/>
    <col min="1289" max="1536" width="9.140625" style="332"/>
    <col min="1537" max="1538" width="3.7109375" style="332" customWidth="1"/>
    <col min="1539" max="1539" width="38" style="332" customWidth="1"/>
    <col min="1540" max="1540" width="21.85546875" style="332" customWidth="1"/>
    <col min="1541" max="1541" width="21.28515625" style="332" customWidth="1"/>
    <col min="1542" max="1542" width="13.140625" style="332" customWidth="1"/>
    <col min="1543" max="1543" width="22.42578125" style="332" customWidth="1"/>
    <col min="1544" max="1544" width="3.7109375" style="332" customWidth="1"/>
    <col min="1545" max="1792" width="9.140625" style="332"/>
    <col min="1793" max="1794" width="3.7109375" style="332" customWidth="1"/>
    <col min="1795" max="1795" width="38" style="332" customWidth="1"/>
    <col min="1796" max="1796" width="21.85546875" style="332" customWidth="1"/>
    <col min="1797" max="1797" width="21.28515625" style="332" customWidth="1"/>
    <col min="1798" max="1798" width="13.140625" style="332" customWidth="1"/>
    <col min="1799" max="1799" width="22.42578125" style="332" customWidth="1"/>
    <col min="1800" max="1800" width="3.7109375" style="332" customWidth="1"/>
    <col min="1801" max="2048" width="9.140625" style="332"/>
    <col min="2049" max="2050" width="3.7109375" style="332" customWidth="1"/>
    <col min="2051" max="2051" width="38" style="332" customWidth="1"/>
    <col min="2052" max="2052" width="21.85546875" style="332" customWidth="1"/>
    <col min="2053" max="2053" width="21.28515625" style="332" customWidth="1"/>
    <col min="2054" max="2054" width="13.140625" style="332" customWidth="1"/>
    <col min="2055" max="2055" width="22.42578125" style="332" customWidth="1"/>
    <col min="2056" max="2056" width="3.7109375" style="332" customWidth="1"/>
    <col min="2057" max="2304" width="9.140625" style="332"/>
    <col min="2305" max="2306" width="3.7109375" style="332" customWidth="1"/>
    <col min="2307" max="2307" width="38" style="332" customWidth="1"/>
    <col min="2308" max="2308" width="21.85546875" style="332" customWidth="1"/>
    <col min="2309" max="2309" width="21.28515625" style="332" customWidth="1"/>
    <col min="2310" max="2310" width="13.140625" style="332" customWidth="1"/>
    <col min="2311" max="2311" width="22.42578125" style="332" customWidth="1"/>
    <col min="2312" max="2312" width="3.7109375" style="332" customWidth="1"/>
    <col min="2313" max="2560" width="9.140625" style="332"/>
    <col min="2561" max="2562" width="3.7109375" style="332" customWidth="1"/>
    <col min="2563" max="2563" width="38" style="332" customWidth="1"/>
    <col min="2564" max="2564" width="21.85546875" style="332" customWidth="1"/>
    <col min="2565" max="2565" width="21.28515625" style="332" customWidth="1"/>
    <col min="2566" max="2566" width="13.140625" style="332" customWidth="1"/>
    <col min="2567" max="2567" width="22.42578125" style="332" customWidth="1"/>
    <col min="2568" max="2568" width="3.7109375" style="332" customWidth="1"/>
    <col min="2569" max="2816" width="9.140625" style="332"/>
    <col min="2817" max="2818" width="3.7109375" style="332" customWidth="1"/>
    <col min="2819" max="2819" width="38" style="332" customWidth="1"/>
    <col min="2820" max="2820" width="21.85546875" style="332" customWidth="1"/>
    <col min="2821" max="2821" width="21.28515625" style="332" customWidth="1"/>
    <col min="2822" max="2822" width="13.140625" style="332" customWidth="1"/>
    <col min="2823" max="2823" width="22.42578125" style="332" customWidth="1"/>
    <col min="2824" max="2824" width="3.7109375" style="332" customWidth="1"/>
    <col min="2825" max="3072" width="9.140625" style="332"/>
    <col min="3073" max="3074" width="3.7109375" style="332" customWidth="1"/>
    <col min="3075" max="3075" width="38" style="332" customWidth="1"/>
    <col min="3076" max="3076" width="21.85546875" style="332" customWidth="1"/>
    <col min="3077" max="3077" width="21.28515625" style="332" customWidth="1"/>
    <col min="3078" max="3078" width="13.140625" style="332" customWidth="1"/>
    <col min="3079" max="3079" width="22.42578125" style="332" customWidth="1"/>
    <col min="3080" max="3080" width="3.7109375" style="332" customWidth="1"/>
    <col min="3081" max="3328" width="9.140625" style="332"/>
    <col min="3329" max="3330" width="3.7109375" style="332" customWidth="1"/>
    <col min="3331" max="3331" width="38" style="332" customWidth="1"/>
    <col min="3332" max="3332" width="21.85546875" style="332" customWidth="1"/>
    <col min="3333" max="3333" width="21.28515625" style="332" customWidth="1"/>
    <col min="3334" max="3334" width="13.140625" style="332" customWidth="1"/>
    <col min="3335" max="3335" width="22.42578125" style="332" customWidth="1"/>
    <col min="3336" max="3336" width="3.7109375" style="332" customWidth="1"/>
    <col min="3337" max="3584" width="9.140625" style="332"/>
    <col min="3585" max="3586" width="3.7109375" style="332" customWidth="1"/>
    <col min="3587" max="3587" width="38" style="332" customWidth="1"/>
    <col min="3588" max="3588" width="21.85546875" style="332" customWidth="1"/>
    <col min="3589" max="3589" width="21.28515625" style="332" customWidth="1"/>
    <col min="3590" max="3590" width="13.140625" style="332" customWidth="1"/>
    <col min="3591" max="3591" width="22.42578125" style="332" customWidth="1"/>
    <col min="3592" max="3592" width="3.7109375" style="332" customWidth="1"/>
    <col min="3593" max="3840" width="9.140625" style="332"/>
    <col min="3841" max="3842" width="3.7109375" style="332" customWidth="1"/>
    <col min="3843" max="3843" width="38" style="332" customWidth="1"/>
    <col min="3844" max="3844" width="21.85546875" style="332" customWidth="1"/>
    <col min="3845" max="3845" width="21.28515625" style="332" customWidth="1"/>
    <col min="3846" max="3846" width="13.140625" style="332" customWidth="1"/>
    <col min="3847" max="3847" width="22.42578125" style="332" customWidth="1"/>
    <col min="3848" max="3848" width="3.7109375" style="332" customWidth="1"/>
    <col min="3849" max="4096" width="9.140625" style="332"/>
    <col min="4097" max="4098" width="3.7109375" style="332" customWidth="1"/>
    <col min="4099" max="4099" width="38" style="332" customWidth="1"/>
    <col min="4100" max="4100" width="21.85546875" style="332" customWidth="1"/>
    <col min="4101" max="4101" width="21.28515625" style="332" customWidth="1"/>
    <col min="4102" max="4102" width="13.140625" style="332" customWidth="1"/>
    <col min="4103" max="4103" width="22.42578125" style="332" customWidth="1"/>
    <col min="4104" max="4104" width="3.7109375" style="332" customWidth="1"/>
    <col min="4105" max="4352" width="9.140625" style="332"/>
    <col min="4353" max="4354" width="3.7109375" style="332" customWidth="1"/>
    <col min="4355" max="4355" width="38" style="332" customWidth="1"/>
    <col min="4356" max="4356" width="21.85546875" style="332" customWidth="1"/>
    <col min="4357" max="4357" width="21.28515625" style="332" customWidth="1"/>
    <col min="4358" max="4358" width="13.140625" style="332" customWidth="1"/>
    <col min="4359" max="4359" width="22.42578125" style="332" customWidth="1"/>
    <col min="4360" max="4360" width="3.7109375" style="332" customWidth="1"/>
    <col min="4361" max="4608" width="9.140625" style="332"/>
    <col min="4609" max="4610" width="3.7109375" style="332" customWidth="1"/>
    <col min="4611" max="4611" width="38" style="332" customWidth="1"/>
    <col min="4612" max="4612" width="21.85546875" style="332" customWidth="1"/>
    <col min="4613" max="4613" width="21.28515625" style="332" customWidth="1"/>
    <col min="4614" max="4614" width="13.140625" style="332" customWidth="1"/>
    <col min="4615" max="4615" width="22.42578125" style="332" customWidth="1"/>
    <col min="4616" max="4616" width="3.7109375" style="332" customWidth="1"/>
    <col min="4617" max="4864" width="9.140625" style="332"/>
    <col min="4865" max="4866" width="3.7109375" style="332" customWidth="1"/>
    <col min="4867" max="4867" width="38" style="332" customWidth="1"/>
    <col min="4868" max="4868" width="21.85546875" style="332" customWidth="1"/>
    <col min="4869" max="4869" width="21.28515625" style="332" customWidth="1"/>
    <col min="4870" max="4870" width="13.140625" style="332" customWidth="1"/>
    <col min="4871" max="4871" width="22.42578125" style="332" customWidth="1"/>
    <col min="4872" max="4872" width="3.7109375" style="332" customWidth="1"/>
    <col min="4873" max="5120" width="9.140625" style="332"/>
    <col min="5121" max="5122" width="3.7109375" style="332" customWidth="1"/>
    <col min="5123" max="5123" width="38" style="332" customWidth="1"/>
    <col min="5124" max="5124" width="21.85546875" style="332" customWidth="1"/>
    <col min="5125" max="5125" width="21.28515625" style="332" customWidth="1"/>
    <col min="5126" max="5126" width="13.140625" style="332" customWidth="1"/>
    <col min="5127" max="5127" width="22.42578125" style="332" customWidth="1"/>
    <col min="5128" max="5128" width="3.7109375" style="332" customWidth="1"/>
    <col min="5129" max="5376" width="9.140625" style="332"/>
    <col min="5377" max="5378" width="3.7109375" style="332" customWidth="1"/>
    <col min="5379" max="5379" width="38" style="332" customWidth="1"/>
    <col min="5380" max="5380" width="21.85546875" style="332" customWidth="1"/>
    <col min="5381" max="5381" width="21.28515625" style="332" customWidth="1"/>
    <col min="5382" max="5382" width="13.140625" style="332" customWidth="1"/>
    <col min="5383" max="5383" width="22.42578125" style="332" customWidth="1"/>
    <col min="5384" max="5384" width="3.7109375" style="332" customWidth="1"/>
    <col min="5385" max="5632" width="9.140625" style="332"/>
    <col min="5633" max="5634" width="3.7109375" style="332" customWidth="1"/>
    <col min="5635" max="5635" width="38" style="332" customWidth="1"/>
    <col min="5636" max="5636" width="21.85546875" style="332" customWidth="1"/>
    <col min="5637" max="5637" width="21.28515625" style="332" customWidth="1"/>
    <col min="5638" max="5638" width="13.140625" style="332" customWidth="1"/>
    <col min="5639" max="5639" width="22.42578125" style="332" customWidth="1"/>
    <col min="5640" max="5640" width="3.7109375" style="332" customWidth="1"/>
    <col min="5641" max="5888" width="9.140625" style="332"/>
    <col min="5889" max="5890" width="3.7109375" style="332" customWidth="1"/>
    <col min="5891" max="5891" width="38" style="332" customWidth="1"/>
    <col min="5892" max="5892" width="21.85546875" style="332" customWidth="1"/>
    <col min="5893" max="5893" width="21.28515625" style="332" customWidth="1"/>
    <col min="5894" max="5894" width="13.140625" style="332" customWidth="1"/>
    <col min="5895" max="5895" width="22.42578125" style="332" customWidth="1"/>
    <col min="5896" max="5896" width="3.7109375" style="332" customWidth="1"/>
    <col min="5897" max="6144" width="9.140625" style="332"/>
    <col min="6145" max="6146" width="3.7109375" style="332" customWidth="1"/>
    <col min="6147" max="6147" width="38" style="332" customWidth="1"/>
    <col min="6148" max="6148" width="21.85546875" style="332" customWidth="1"/>
    <col min="6149" max="6149" width="21.28515625" style="332" customWidth="1"/>
    <col min="6150" max="6150" width="13.140625" style="332" customWidth="1"/>
    <col min="6151" max="6151" width="22.42578125" style="332" customWidth="1"/>
    <col min="6152" max="6152" width="3.7109375" style="332" customWidth="1"/>
    <col min="6153" max="6400" width="9.140625" style="332"/>
    <col min="6401" max="6402" width="3.7109375" style="332" customWidth="1"/>
    <col min="6403" max="6403" width="38" style="332" customWidth="1"/>
    <col min="6404" max="6404" width="21.85546875" style="332" customWidth="1"/>
    <col min="6405" max="6405" width="21.28515625" style="332" customWidth="1"/>
    <col min="6406" max="6406" width="13.140625" style="332" customWidth="1"/>
    <col min="6407" max="6407" width="22.42578125" style="332" customWidth="1"/>
    <col min="6408" max="6408" width="3.7109375" style="332" customWidth="1"/>
    <col min="6409" max="6656" width="9.140625" style="332"/>
    <col min="6657" max="6658" width="3.7109375" style="332" customWidth="1"/>
    <col min="6659" max="6659" width="38" style="332" customWidth="1"/>
    <col min="6660" max="6660" width="21.85546875" style="332" customWidth="1"/>
    <col min="6661" max="6661" width="21.28515625" style="332" customWidth="1"/>
    <col min="6662" max="6662" width="13.140625" style="332" customWidth="1"/>
    <col min="6663" max="6663" width="22.42578125" style="332" customWidth="1"/>
    <col min="6664" max="6664" width="3.7109375" style="332" customWidth="1"/>
    <col min="6665" max="6912" width="9.140625" style="332"/>
    <col min="6913" max="6914" width="3.7109375" style="332" customWidth="1"/>
    <col min="6915" max="6915" width="38" style="332" customWidth="1"/>
    <col min="6916" max="6916" width="21.85546875" style="332" customWidth="1"/>
    <col min="6917" max="6917" width="21.28515625" style="332" customWidth="1"/>
    <col min="6918" max="6918" width="13.140625" style="332" customWidth="1"/>
    <col min="6919" max="6919" width="22.42578125" style="332" customWidth="1"/>
    <col min="6920" max="6920" width="3.7109375" style="332" customWidth="1"/>
    <col min="6921" max="7168" width="9.140625" style="332"/>
    <col min="7169" max="7170" width="3.7109375" style="332" customWidth="1"/>
    <col min="7171" max="7171" width="38" style="332" customWidth="1"/>
    <col min="7172" max="7172" width="21.85546875" style="332" customWidth="1"/>
    <col min="7173" max="7173" width="21.28515625" style="332" customWidth="1"/>
    <col min="7174" max="7174" width="13.140625" style="332" customWidth="1"/>
    <col min="7175" max="7175" width="22.42578125" style="332" customWidth="1"/>
    <col min="7176" max="7176" width="3.7109375" style="332" customWidth="1"/>
    <col min="7177" max="7424" width="9.140625" style="332"/>
    <col min="7425" max="7426" width="3.7109375" style="332" customWidth="1"/>
    <col min="7427" max="7427" width="38" style="332" customWidth="1"/>
    <col min="7428" max="7428" width="21.85546875" style="332" customWidth="1"/>
    <col min="7429" max="7429" width="21.28515625" style="332" customWidth="1"/>
    <col min="7430" max="7430" width="13.140625" style="332" customWidth="1"/>
    <col min="7431" max="7431" width="22.42578125" style="332" customWidth="1"/>
    <col min="7432" max="7432" width="3.7109375" style="332" customWidth="1"/>
    <col min="7433" max="7680" width="9.140625" style="332"/>
    <col min="7681" max="7682" width="3.7109375" style="332" customWidth="1"/>
    <col min="7683" max="7683" width="38" style="332" customWidth="1"/>
    <col min="7684" max="7684" width="21.85546875" style="332" customWidth="1"/>
    <col min="7685" max="7685" width="21.28515625" style="332" customWidth="1"/>
    <col min="7686" max="7686" width="13.140625" style="332" customWidth="1"/>
    <col min="7687" max="7687" width="22.42578125" style="332" customWidth="1"/>
    <col min="7688" max="7688" width="3.7109375" style="332" customWidth="1"/>
    <col min="7689" max="7936" width="9.140625" style="332"/>
    <col min="7937" max="7938" width="3.7109375" style="332" customWidth="1"/>
    <col min="7939" max="7939" width="38" style="332" customWidth="1"/>
    <col min="7940" max="7940" width="21.85546875" style="332" customWidth="1"/>
    <col min="7941" max="7941" width="21.28515625" style="332" customWidth="1"/>
    <col min="7942" max="7942" width="13.140625" style="332" customWidth="1"/>
    <col min="7943" max="7943" width="22.42578125" style="332" customWidth="1"/>
    <col min="7944" max="7944" width="3.7109375" style="332" customWidth="1"/>
    <col min="7945" max="8192" width="9.140625" style="332"/>
    <col min="8193" max="8194" width="3.7109375" style="332" customWidth="1"/>
    <col min="8195" max="8195" width="38" style="332" customWidth="1"/>
    <col min="8196" max="8196" width="21.85546875" style="332" customWidth="1"/>
    <col min="8197" max="8197" width="21.28515625" style="332" customWidth="1"/>
    <col min="8198" max="8198" width="13.140625" style="332" customWidth="1"/>
    <col min="8199" max="8199" width="22.42578125" style="332" customWidth="1"/>
    <col min="8200" max="8200" width="3.7109375" style="332" customWidth="1"/>
    <col min="8201" max="8448" width="9.140625" style="332"/>
    <col min="8449" max="8450" width="3.7109375" style="332" customWidth="1"/>
    <col min="8451" max="8451" width="38" style="332" customWidth="1"/>
    <col min="8452" max="8452" width="21.85546875" style="332" customWidth="1"/>
    <col min="8453" max="8453" width="21.28515625" style="332" customWidth="1"/>
    <col min="8454" max="8454" width="13.140625" style="332" customWidth="1"/>
    <col min="8455" max="8455" width="22.42578125" style="332" customWidth="1"/>
    <col min="8456" max="8456" width="3.7109375" style="332" customWidth="1"/>
    <col min="8457" max="8704" width="9.140625" style="332"/>
    <col min="8705" max="8706" width="3.7109375" style="332" customWidth="1"/>
    <col min="8707" max="8707" width="38" style="332" customWidth="1"/>
    <col min="8708" max="8708" width="21.85546875" style="332" customWidth="1"/>
    <col min="8709" max="8709" width="21.28515625" style="332" customWidth="1"/>
    <col min="8710" max="8710" width="13.140625" style="332" customWidth="1"/>
    <col min="8711" max="8711" width="22.42578125" style="332" customWidth="1"/>
    <col min="8712" max="8712" width="3.7109375" style="332" customWidth="1"/>
    <col min="8713" max="8960" width="9.140625" style="332"/>
    <col min="8961" max="8962" width="3.7109375" style="332" customWidth="1"/>
    <col min="8963" max="8963" width="38" style="332" customWidth="1"/>
    <col min="8964" max="8964" width="21.85546875" style="332" customWidth="1"/>
    <col min="8965" max="8965" width="21.28515625" style="332" customWidth="1"/>
    <col min="8966" max="8966" width="13.140625" style="332" customWidth="1"/>
    <col min="8967" max="8967" width="22.42578125" style="332" customWidth="1"/>
    <col min="8968" max="8968" width="3.7109375" style="332" customWidth="1"/>
    <col min="8969" max="9216" width="9.140625" style="332"/>
    <col min="9217" max="9218" width="3.7109375" style="332" customWidth="1"/>
    <col min="9219" max="9219" width="38" style="332" customWidth="1"/>
    <col min="9220" max="9220" width="21.85546875" style="332" customWidth="1"/>
    <col min="9221" max="9221" width="21.28515625" style="332" customWidth="1"/>
    <col min="9222" max="9222" width="13.140625" style="332" customWidth="1"/>
    <col min="9223" max="9223" width="22.42578125" style="332" customWidth="1"/>
    <col min="9224" max="9224" width="3.7109375" style="332" customWidth="1"/>
    <col min="9225" max="9472" width="9.140625" style="332"/>
    <col min="9473" max="9474" width="3.7109375" style="332" customWidth="1"/>
    <col min="9475" max="9475" width="38" style="332" customWidth="1"/>
    <col min="9476" max="9476" width="21.85546875" style="332" customWidth="1"/>
    <col min="9477" max="9477" width="21.28515625" style="332" customWidth="1"/>
    <col min="9478" max="9478" width="13.140625" style="332" customWidth="1"/>
    <col min="9479" max="9479" width="22.42578125" style="332" customWidth="1"/>
    <col min="9480" max="9480" width="3.7109375" style="332" customWidth="1"/>
    <col min="9481" max="9728" width="9.140625" style="332"/>
    <col min="9729" max="9730" width="3.7109375" style="332" customWidth="1"/>
    <col min="9731" max="9731" width="38" style="332" customWidth="1"/>
    <col min="9732" max="9732" width="21.85546875" style="332" customWidth="1"/>
    <col min="9733" max="9733" width="21.28515625" style="332" customWidth="1"/>
    <col min="9734" max="9734" width="13.140625" style="332" customWidth="1"/>
    <col min="9735" max="9735" width="22.42578125" style="332" customWidth="1"/>
    <col min="9736" max="9736" width="3.7109375" style="332" customWidth="1"/>
    <col min="9737" max="9984" width="9.140625" style="332"/>
    <col min="9985" max="9986" width="3.7109375" style="332" customWidth="1"/>
    <col min="9987" max="9987" width="38" style="332" customWidth="1"/>
    <col min="9988" max="9988" width="21.85546875" style="332" customWidth="1"/>
    <col min="9989" max="9989" width="21.28515625" style="332" customWidth="1"/>
    <col min="9990" max="9990" width="13.140625" style="332" customWidth="1"/>
    <col min="9991" max="9991" width="22.42578125" style="332" customWidth="1"/>
    <col min="9992" max="9992" width="3.7109375" style="332" customWidth="1"/>
    <col min="9993" max="10240" width="9.140625" style="332"/>
    <col min="10241" max="10242" width="3.7109375" style="332" customWidth="1"/>
    <col min="10243" max="10243" width="38" style="332" customWidth="1"/>
    <col min="10244" max="10244" width="21.85546875" style="332" customWidth="1"/>
    <col min="10245" max="10245" width="21.28515625" style="332" customWidth="1"/>
    <col min="10246" max="10246" width="13.140625" style="332" customWidth="1"/>
    <col min="10247" max="10247" width="22.42578125" style="332" customWidth="1"/>
    <col min="10248" max="10248" width="3.7109375" style="332" customWidth="1"/>
    <col min="10249" max="10496" width="9.140625" style="332"/>
    <col min="10497" max="10498" width="3.7109375" style="332" customWidth="1"/>
    <col min="10499" max="10499" width="38" style="332" customWidth="1"/>
    <col min="10500" max="10500" width="21.85546875" style="332" customWidth="1"/>
    <col min="10501" max="10501" width="21.28515625" style="332" customWidth="1"/>
    <col min="10502" max="10502" width="13.140625" style="332" customWidth="1"/>
    <col min="10503" max="10503" width="22.42578125" style="332" customWidth="1"/>
    <col min="10504" max="10504" width="3.7109375" style="332" customWidth="1"/>
    <col min="10505" max="10752" width="9.140625" style="332"/>
    <col min="10753" max="10754" width="3.7109375" style="332" customWidth="1"/>
    <col min="10755" max="10755" width="38" style="332" customWidth="1"/>
    <col min="10756" max="10756" width="21.85546875" style="332" customWidth="1"/>
    <col min="10757" max="10757" width="21.28515625" style="332" customWidth="1"/>
    <col min="10758" max="10758" width="13.140625" style="332" customWidth="1"/>
    <col min="10759" max="10759" width="22.42578125" style="332" customWidth="1"/>
    <col min="10760" max="10760" width="3.7109375" style="332" customWidth="1"/>
    <col min="10761" max="11008" width="9.140625" style="332"/>
    <col min="11009" max="11010" width="3.7109375" style="332" customWidth="1"/>
    <col min="11011" max="11011" width="38" style="332" customWidth="1"/>
    <col min="11012" max="11012" width="21.85546875" style="332" customWidth="1"/>
    <col min="11013" max="11013" width="21.28515625" style="332" customWidth="1"/>
    <col min="11014" max="11014" width="13.140625" style="332" customWidth="1"/>
    <col min="11015" max="11015" width="22.42578125" style="332" customWidth="1"/>
    <col min="11016" max="11016" width="3.7109375" style="332" customWidth="1"/>
    <col min="11017" max="11264" width="9.140625" style="332"/>
    <col min="11265" max="11266" width="3.7109375" style="332" customWidth="1"/>
    <col min="11267" max="11267" width="38" style="332" customWidth="1"/>
    <col min="11268" max="11268" width="21.85546875" style="332" customWidth="1"/>
    <col min="11269" max="11269" width="21.28515625" style="332" customWidth="1"/>
    <col min="11270" max="11270" width="13.140625" style="332" customWidth="1"/>
    <col min="11271" max="11271" width="22.42578125" style="332" customWidth="1"/>
    <col min="11272" max="11272" width="3.7109375" style="332" customWidth="1"/>
    <col min="11273" max="11520" width="9.140625" style="332"/>
    <col min="11521" max="11522" width="3.7109375" style="332" customWidth="1"/>
    <col min="11523" max="11523" width="38" style="332" customWidth="1"/>
    <col min="11524" max="11524" width="21.85546875" style="332" customWidth="1"/>
    <col min="11525" max="11525" width="21.28515625" style="332" customWidth="1"/>
    <col min="11526" max="11526" width="13.140625" style="332" customWidth="1"/>
    <col min="11527" max="11527" width="22.42578125" style="332" customWidth="1"/>
    <col min="11528" max="11528" width="3.7109375" style="332" customWidth="1"/>
    <col min="11529" max="11776" width="9.140625" style="332"/>
    <col min="11777" max="11778" width="3.7109375" style="332" customWidth="1"/>
    <col min="11779" max="11779" width="38" style="332" customWidth="1"/>
    <col min="11780" max="11780" width="21.85546875" style="332" customWidth="1"/>
    <col min="11781" max="11781" width="21.28515625" style="332" customWidth="1"/>
    <col min="11782" max="11782" width="13.140625" style="332" customWidth="1"/>
    <col min="11783" max="11783" width="22.42578125" style="332" customWidth="1"/>
    <col min="11784" max="11784" width="3.7109375" style="332" customWidth="1"/>
    <col min="11785" max="12032" width="9.140625" style="332"/>
    <col min="12033" max="12034" width="3.7109375" style="332" customWidth="1"/>
    <col min="12035" max="12035" width="38" style="332" customWidth="1"/>
    <col min="12036" max="12036" width="21.85546875" style="332" customWidth="1"/>
    <col min="12037" max="12037" width="21.28515625" style="332" customWidth="1"/>
    <col min="12038" max="12038" width="13.140625" style="332" customWidth="1"/>
    <col min="12039" max="12039" width="22.42578125" style="332" customWidth="1"/>
    <col min="12040" max="12040" width="3.7109375" style="332" customWidth="1"/>
    <col min="12041" max="12288" width="9.140625" style="332"/>
    <col min="12289" max="12290" width="3.7109375" style="332" customWidth="1"/>
    <col min="12291" max="12291" width="38" style="332" customWidth="1"/>
    <col min="12292" max="12292" width="21.85546875" style="332" customWidth="1"/>
    <col min="12293" max="12293" width="21.28515625" style="332" customWidth="1"/>
    <col min="12294" max="12294" width="13.140625" style="332" customWidth="1"/>
    <col min="12295" max="12295" width="22.42578125" style="332" customWidth="1"/>
    <col min="12296" max="12296" width="3.7109375" style="332" customWidth="1"/>
    <col min="12297" max="12544" width="9.140625" style="332"/>
    <col min="12545" max="12546" width="3.7109375" style="332" customWidth="1"/>
    <col min="12547" max="12547" width="38" style="332" customWidth="1"/>
    <col min="12548" max="12548" width="21.85546875" style="332" customWidth="1"/>
    <col min="12549" max="12549" width="21.28515625" style="332" customWidth="1"/>
    <col min="12550" max="12550" width="13.140625" style="332" customWidth="1"/>
    <col min="12551" max="12551" width="22.42578125" style="332" customWidth="1"/>
    <col min="12552" max="12552" width="3.7109375" style="332" customWidth="1"/>
    <col min="12553" max="12800" width="9.140625" style="332"/>
    <col min="12801" max="12802" width="3.7109375" style="332" customWidth="1"/>
    <col min="12803" max="12803" width="38" style="332" customWidth="1"/>
    <col min="12804" max="12804" width="21.85546875" style="332" customWidth="1"/>
    <col min="12805" max="12805" width="21.28515625" style="332" customWidth="1"/>
    <col min="12806" max="12806" width="13.140625" style="332" customWidth="1"/>
    <col min="12807" max="12807" width="22.42578125" style="332" customWidth="1"/>
    <col min="12808" max="12808" width="3.7109375" style="332" customWidth="1"/>
    <col min="12809" max="13056" width="9.140625" style="332"/>
    <col min="13057" max="13058" width="3.7109375" style="332" customWidth="1"/>
    <col min="13059" max="13059" width="38" style="332" customWidth="1"/>
    <col min="13060" max="13060" width="21.85546875" style="332" customWidth="1"/>
    <col min="13061" max="13061" width="21.28515625" style="332" customWidth="1"/>
    <col min="13062" max="13062" width="13.140625" style="332" customWidth="1"/>
    <col min="13063" max="13063" width="22.42578125" style="332" customWidth="1"/>
    <col min="13064" max="13064" width="3.7109375" style="332" customWidth="1"/>
    <col min="13065" max="13312" width="9.140625" style="332"/>
    <col min="13313" max="13314" width="3.7109375" style="332" customWidth="1"/>
    <col min="13315" max="13315" width="38" style="332" customWidth="1"/>
    <col min="13316" max="13316" width="21.85546875" style="332" customWidth="1"/>
    <col min="13317" max="13317" width="21.28515625" style="332" customWidth="1"/>
    <col min="13318" max="13318" width="13.140625" style="332" customWidth="1"/>
    <col min="13319" max="13319" width="22.42578125" style="332" customWidth="1"/>
    <col min="13320" max="13320" width="3.7109375" style="332" customWidth="1"/>
    <col min="13321" max="13568" width="9.140625" style="332"/>
    <col min="13569" max="13570" width="3.7109375" style="332" customWidth="1"/>
    <col min="13571" max="13571" width="38" style="332" customWidth="1"/>
    <col min="13572" max="13572" width="21.85546875" style="332" customWidth="1"/>
    <col min="13573" max="13573" width="21.28515625" style="332" customWidth="1"/>
    <col min="13574" max="13574" width="13.140625" style="332" customWidth="1"/>
    <col min="13575" max="13575" width="22.42578125" style="332" customWidth="1"/>
    <col min="13576" max="13576" width="3.7109375" style="332" customWidth="1"/>
    <col min="13577" max="13824" width="9.140625" style="332"/>
    <col min="13825" max="13826" width="3.7109375" style="332" customWidth="1"/>
    <col min="13827" max="13827" width="38" style="332" customWidth="1"/>
    <col min="13828" max="13828" width="21.85546875" style="332" customWidth="1"/>
    <col min="13829" max="13829" width="21.28515625" style="332" customWidth="1"/>
    <col min="13830" max="13830" width="13.140625" style="332" customWidth="1"/>
    <col min="13831" max="13831" width="22.42578125" style="332" customWidth="1"/>
    <col min="13832" max="13832" width="3.7109375" style="332" customWidth="1"/>
    <col min="13833" max="14080" width="9.140625" style="332"/>
    <col min="14081" max="14082" width="3.7109375" style="332" customWidth="1"/>
    <col min="14083" max="14083" width="38" style="332" customWidth="1"/>
    <col min="14084" max="14084" width="21.85546875" style="332" customWidth="1"/>
    <col min="14085" max="14085" width="21.28515625" style="332" customWidth="1"/>
    <col min="14086" max="14086" width="13.140625" style="332" customWidth="1"/>
    <col min="14087" max="14087" width="22.42578125" style="332" customWidth="1"/>
    <col min="14088" max="14088" width="3.7109375" style="332" customWidth="1"/>
    <col min="14089" max="14336" width="9.140625" style="332"/>
    <col min="14337" max="14338" width="3.7109375" style="332" customWidth="1"/>
    <col min="14339" max="14339" width="38" style="332" customWidth="1"/>
    <col min="14340" max="14340" width="21.85546875" style="332" customWidth="1"/>
    <col min="14341" max="14341" width="21.28515625" style="332" customWidth="1"/>
    <col min="14342" max="14342" width="13.140625" style="332" customWidth="1"/>
    <col min="14343" max="14343" width="22.42578125" style="332" customWidth="1"/>
    <col min="14344" max="14344" width="3.7109375" style="332" customWidth="1"/>
    <col min="14345" max="14592" width="9.140625" style="332"/>
    <col min="14593" max="14594" width="3.7109375" style="332" customWidth="1"/>
    <col min="14595" max="14595" width="38" style="332" customWidth="1"/>
    <col min="14596" max="14596" width="21.85546875" style="332" customWidth="1"/>
    <col min="14597" max="14597" width="21.28515625" style="332" customWidth="1"/>
    <col min="14598" max="14598" width="13.140625" style="332" customWidth="1"/>
    <col min="14599" max="14599" width="22.42578125" style="332" customWidth="1"/>
    <col min="14600" max="14600" width="3.7109375" style="332" customWidth="1"/>
    <col min="14601" max="14848" width="9.140625" style="332"/>
    <col min="14849" max="14850" width="3.7109375" style="332" customWidth="1"/>
    <col min="14851" max="14851" width="38" style="332" customWidth="1"/>
    <col min="14852" max="14852" width="21.85546875" style="332" customWidth="1"/>
    <col min="14853" max="14853" width="21.28515625" style="332" customWidth="1"/>
    <col min="14854" max="14854" width="13.140625" style="332" customWidth="1"/>
    <col min="14855" max="14855" width="22.42578125" style="332" customWidth="1"/>
    <col min="14856" max="14856" width="3.7109375" style="332" customWidth="1"/>
    <col min="14857" max="15104" width="9.140625" style="332"/>
    <col min="15105" max="15106" width="3.7109375" style="332" customWidth="1"/>
    <col min="15107" max="15107" width="38" style="332" customWidth="1"/>
    <col min="15108" max="15108" width="21.85546875" style="332" customWidth="1"/>
    <col min="15109" max="15109" width="21.28515625" style="332" customWidth="1"/>
    <col min="15110" max="15110" width="13.140625" style="332" customWidth="1"/>
    <col min="15111" max="15111" width="22.42578125" style="332" customWidth="1"/>
    <col min="15112" max="15112" width="3.7109375" style="332" customWidth="1"/>
    <col min="15113" max="15360" width="9.140625" style="332"/>
    <col min="15361" max="15362" width="3.7109375" style="332" customWidth="1"/>
    <col min="15363" max="15363" width="38" style="332" customWidth="1"/>
    <col min="15364" max="15364" width="21.85546875" style="332" customWidth="1"/>
    <col min="15365" max="15365" width="21.28515625" style="332" customWidth="1"/>
    <col min="15366" max="15366" width="13.140625" style="332" customWidth="1"/>
    <col min="15367" max="15367" width="22.42578125" style="332" customWidth="1"/>
    <col min="15368" max="15368" width="3.7109375" style="332" customWidth="1"/>
    <col min="15369" max="15616" width="9.140625" style="332"/>
    <col min="15617" max="15618" width="3.7109375" style="332" customWidth="1"/>
    <col min="15619" max="15619" width="38" style="332" customWidth="1"/>
    <col min="15620" max="15620" width="21.85546875" style="332" customWidth="1"/>
    <col min="15621" max="15621" width="21.28515625" style="332" customWidth="1"/>
    <col min="15622" max="15622" width="13.140625" style="332" customWidth="1"/>
    <col min="15623" max="15623" width="22.42578125" style="332" customWidth="1"/>
    <col min="15624" max="15624" width="3.7109375" style="332" customWidth="1"/>
    <col min="15625" max="15872" width="9.140625" style="332"/>
    <col min="15873" max="15874" width="3.7109375" style="332" customWidth="1"/>
    <col min="15875" max="15875" width="38" style="332" customWidth="1"/>
    <col min="15876" max="15876" width="21.85546875" style="332" customWidth="1"/>
    <col min="15877" max="15877" width="21.28515625" style="332" customWidth="1"/>
    <col min="15878" max="15878" width="13.140625" style="332" customWidth="1"/>
    <col min="15879" max="15879" width="22.42578125" style="332" customWidth="1"/>
    <col min="15880" max="15880" width="3.7109375" style="332" customWidth="1"/>
    <col min="15881" max="16128" width="9.140625" style="332"/>
    <col min="16129" max="16130" width="3.7109375" style="332" customWidth="1"/>
    <col min="16131" max="16131" width="38" style="332" customWidth="1"/>
    <col min="16132" max="16132" width="21.85546875" style="332" customWidth="1"/>
    <col min="16133" max="16133" width="21.28515625" style="332" customWidth="1"/>
    <col min="16134" max="16134" width="13.140625" style="332" customWidth="1"/>
    <col min="16135" max="16135" width="22.42578125" style="332" customWidth="1"/>
    <col min="16136" max="16136" width="3.7109375" style="332" customWidth="1"/>
    <col min="16137" max="16384" width="9.140625" style="332"/>
  </cols>
  <sheetData>
    <row r="1" spans="1:17" s="297" customFormat="1" ht="15.75" thickBot="1">
      <c r="A1" s="142"/>
      <c r="B1" s="142"/>
      <c r="C1" s="142"/>
      <c r="D1" s="142"/>
      <c r="E1" s="142"/>
      <c r="F1" s="142"/>
      <c r="G1" s="142"/>
      <c r="H1" s="142"/>
      <c r="I1" s="142"/>
    </row>
    <row r="2" spans="1:17" s="297" customFormat="1" ht="15">
      <c r="A2" s="142"/>
      <c r="B2" s="143"/>
      <c r="C2" s="144"/>
      <c r="D2" s="144"/>
      <c r="E2" s="145"/>
      <c r="F2" s="145"/>
      <c r="G2" s="145"/>
      <c r="H2" s="146"/>
      <c r="I2" s="142"/>
    </row>
    <row r="3" spans="1:17" s="297" customFormat="1" ht="15">
      <c r="A3" s="142"/>
      <c r="B3" s="147"/>
      <c r="C3" s="148" t="s">
        <v>125</v>
      </c>
      <c r="D3" s="149"/>
      <c r="E3" s="150"/>
      <c r="F3" s="149"/>
      <c r="G3" s="149"/>
      <c r="H3" s="151"/>
      <c r="I3" s="142"/>
    </row>
    <row r="4" spans="1:17" s="297" customFormat="1" ht="15">
      <c r="A4" s="142"/>
      <c r="B4" s="147"/>
      <c r="C4" s="153" t="s">
        <v>109</v>
      </c>
      <c r="D4" s="427" t="s">
        <v>222</v>
      </c>
      <c r="E4" s="427"/>
      <c r="F4" s="427"/>
      <c r="G4" s="427"/>
      <c r="H4" s="151"/>
      <c r="I4" s="142"/>
    </row>
    <row r="5" spans="1:17" s="297" customFormat="1" ht="15" customHeight="1">
      <c r="A5" s="142"/>
      <c r="B5" s="147"/>
      <c r="C5" s="154" t="s">
        <v>110</v>
      </c>
      <c r="D5" s="428" t="s">
        <v>111</v>
      </c>
      <c r="E5" s="428"/>
      <c r="F5" s="428"/>
      <c r="G5" s="428"/>
      <c r="H5" s="151"/>
      <c r="I5" s="142"/>
    </row>
    <row r="6" spans="1:17" s="297" customFormat="1" ht="14.25" customHeight="1">
      <c r="A6" s="142"/>
      <c r="B6" s="147"/>
      <c r="C6" s="154" t="s">
        <v>112</v>
      </c>
      <c r="D6" s="429" t="s">
        <v>174</v>
      </c>
      <c r="E6" s="425"/>
      <c r="F6" s="425"/>
      <c r="G6" s="426"/>
      <c r="H6" s="151"/>
      <c r="I6" s="142"/>
    </row>
    <row r="7" spans="1:17" s="297" customFormat="1" ht="14.25" customHeight="1">
      <c r="A7" s="142"/>
      <c r="B7" s="147"/>
      <c r="C7" s="154" t="s">
        <v>120</v>
      </c>
      <c r="D7" s="156" t="s">
        <v>223</v>
      </c>
      <c r="E7" s="157"/>
      <c r="F7" s="157"/>
      <c r="G7" s="158"/>
      <c r="H7" s="151"/>
      <c r="I7" s="142"/>
    </row>
    <row r="8" spans="1:17" s="297" customFormat="1" ht="17.25" customHeight="1">
      <c r="A8" s="142"/>
      <c r="B8" s="147"/>
      <c r="C8" s="154" t="s">
        <v>385</v>
      </c>
      <c r="D8" s="430">
        <v>2017</v>
      </c>
      <c r="E8" s="431"/>
      <c r="F8" s="431"/>
      <c r="G8" s="432"/>
      <c r="H8" s="151"/>
      <c r="I8" s="142"/>
    </row>
    <row r="9" spans="1:17" s="297" customFormat="1" ht="15">
      <c r="A9" s="142"/>
      <c r="B9" s="147"/>
      <c r="C9" s="154" t="s">
        <v>113</v>
      </c>
      <c r="D9" s="423">
        <v>1</v>
      </c>
      <c r="E9" s="423"/>
      <c r="F9" s="423"/>
      <c r="G9" s="423"/>
      <c r="H9" s="151"/>
      <c r="I9" s="142"/>
    </row>
    <row r="10" spans="1:17" s="297" customFormat="1" ht="14.25" customHeight="1">
      <c r="A10" s="142"/>
      <c r="B10" s="147"/>
      <c r="C10" s="154" t="s">
        <v>114</v>
      </c>
      <c r="D10" s="423">
        <v>1</v>
      </c>
      <c r="E10" s="423"/>
      <c r="F10" s="423"/>
      <c r="G10" s="423"/>
      <c r="H10" s="151"/>
      <c r="I10" s="142"/>
    </row>
    <row r="11" spans="1:17" s="297" customFormat="1" ht="15" customHeight="1">
      <c r="A11" s="142"/>
      <c r="B11" s="147"/>
      <c r="C11" s="154" t="s">
        <v>115</v>
      </c>
      <c r="D11" s="424">
        <f>F50</f>
        <v>1.0739299999999998</v>
      </c>
      <c r="E11" s="425"/>
      <c r="F11" s="425"/>
      <c r="G11" s="426"/>
      <c r="H11" s="151"/>
      <c r="I11" s="142"/>
    </row>
    <row r="12" spans="1:17" s="297" customFormat="1" ht="15" customHeight="1">
      <c r="A12" s="142"/>
      <c r="B12" s="147"/>
      <c r="C12" s="154" t="s">
        <v>126</v>
      </c>
      <c r="D12" s="424">
        <f>D9*D11</f>
        <v>1.0739299999999998</v>
      </c>
      <c r="E12" s="425"/>
      <c r="F12" s="425"/>
      <c r="G12" s="426"/>
      <c r="H12" s="151"/>
      <c r="I12" s="142"/>
    </row>
    <row r="13" spans="1:17" s="297" customFormat="1" ht="17.25" customHeight="1">
      <c r="A13" s="142"/>
      <c r="B13" s="147"/>
      <c r="C13" s="154" t="s">
        <v>291</v>
      </c>
      <c r="D13" s="424">
        <f>(IF(D8&lt;2017,4,2021-D8))*D11</f>
        <v>4.2957199999999993</v>
      </c>
      <c r="E13" s="425"/>
      <c r="F13" s="425"/>
      <c r="G13" s="426"/>
      <c r="H13" s="151"/>
      <c r="I13" s="142"/>
    </row>
    <row r="14" spans="1:17" s="297" customFormat="1" ht="14.25" customHeight="1">
      <c r="A14" s="142"/>
      <c r="B14" s="147"/>
      <c r="C14" s="154" t="s">
        <v>127</v>
      </c>
      <c r="D14" s="424">
        <f>D13*D9</f>
        <v>4.2957199999999993</v>
      </c>
      <c r="E14" s="425"/>
      <c r="F14" s="425"/>
      <c r="G14" s="426"/>
      <c r="H14" s="151"/>
      <c r="I14" s="142"/>
    </row>
    <row r="15" spans="1:17" s="297" customFormat="1" ht="14.25" customHeight="1" thickBot="1">
      <c r="A15" s="142"/>
      <c r="B15" s="160"/>
      <c r="C15" s="161"/>
      <c r="D15" s="162"/>
      <c r="E15" s="163"/>
      <c r="F15" s="163"/>
      <c r="G15" s="163"/>
      <c r="H15" s="164"/>
      <c r="I15" s="142"/>
    </row>
    <row r="16" spans="1:17" s="142" customFormat="1" ht="15.75" thickBot="1">
      <c r="A16" s="152"/>
      <c r="B16" s="155"/>
      <c r="C16" s="165"/>
      <c r="D16" s="166"/>
      <c r="E16" s="167"/>
      <c r="F16" s="167"/>
      <c r="G16" s="167"/>
      <c r="H16" s="165"/>
      <c r="I16" s="152"/>
      <c r="J16" s="152"/>
      <c r="K16" s="152"/>
      <c r="L16" s="152"/>
      <c r="M16" s="152"/>
      <c r="N16" s="152"/>
      <c r="O16" s="152"/>
      <c r="P16" s="152"/>
      <c r="Q16" s="152"/>
    </row>
    <row r="17" spans="2:17" s="142" customFormat="1" ht="16.5">
      <c r="B17" s="168"/>
      <c r="C17" s="169"/>
      <c r="D17" s="169"/>
      <c r="E17" s="170"/>
      <c r="F17" s="171"/>
      <c r="G17" s="171"/>
      <c r="H17" s="172"/>
    </row>
    <row r="18" spans="2:17" s="142" customFormat="1" ht="47.25" customHeight="1">
      <c r="B18" s="173"/>
      <c r="C18" s="464" t="s">
        <v>221</v>
      </c>
      <c r="D18" s="464"/>
      <c r="E18" s="464"/>
      <c r="F18" s="464"/>
      <c r="G18" s="174"/>
      <c r="H18" s="175"/>
    </row>
    <row r="19" spans="2:17" s="142" customFormat="1" ht="135" customHeight="1">
      <c r="B19" s="173"/>
      <c r="C19" s="465" t="s">
        <v>298</v>
      </c>
      <c r="D19" s="465"/>
      <c r="E19" s="465"/>
      <c r="F19" s="465"/>
      <c r="G19" s="465"/>
      <c r="H19" s="175"/>
    </row>
    <row r="20" spans="2:17" s="142" customFormat="1" ht="16.5">
      <c r="B20" s="176"/>
      <c r="C20" s="177"/>
      <c r="D20" s="178"/>
      <c r="E20" s="179"/>
      <c r="F20" s="179"/>
      <c r="G20" s="179"/>
      <c r="H20" s="151"/>
      <c r="J20" s="152"/>
      <c r="K20" s="152"/>
      <c r="L20" s="152"/>
      <c r="M20" s="152"/>
      <c r="N20" s="152"/>
      <c r="O20" s="152"/>
      <c r="P20" s="152"/>
      <c r="Q20" s="152"/>
    </row>
    <row r="21" spans="2:17" s="142" customFormat="1" ht="21.75" customHeight="1" thickBot="1">
      <c r="B21" s="173"/>
      <c r="C21" s="180" t="s">
        <v>129</v>
      </c>
      <c r="D21" s="181"/>
      <c r="E21" s="181"/>
      <c r="F21" s="181"/>
      <c r="G21" s="181"/>
      <c r="H21" s="175"/>
    </row>
    <row r="22" spans="2:17" s="142" customFormat="1" ht="27.75" customHeight="1">
      <c r="B22" s="176"/>
      <c r="C22" s="182"/>
      <c r="D22" s="298" t="s">
        <v>118</v>
      </c>
      <c r="E22" s="298" t="s">
        <v>267</v>
      </c>
      <c r="F22" s="184" t="s">
        <v>0</v>
      </c>
      <c r="G22" s="185" t="s">
        <v>3</v>
      </c>
      <c r="H22" s="175"/>
    </row>
    <row r="23" spans="2:17" s="142" customFormat="1" ht="16.5">
      <c r="B23" s="176"/>
      <c r="C23" s="190" t="s">
        <v>157</v>
      </c>
      <c r="D23" s="274">
        <v>61500000</v>
      </c>
      <c r="E23" s="274">
        <v>61500000</v>
      </c>
      <c r="F23" s="299" t="s">
        <v>51</v>
      </c>
      <c r="G23" s="288" t="s">
        <v>220</v>
      </c>
      <c r="H23" s="175"/>
    </row>
    <row r="24" spans="2:17" s="142" customFormat="1" ht="16.5">
      <c r="B24" s="186"/>
      <c r="C24" s="196" t="s">
        <v>224</v>
      </c>
      <c r="D24" s="333" t="s">
        <v>11</v>
      </c>
      <c r="E24" s="334" t="s">
        <v>11</v>
      </c>
      <c r="F24" s="328"/>
      <c r="G24" s="288" t="s">
        <v>220</v>
      </c>
      <c r="H24" s="175"/>
    </row>
    <row r="25" spans="2:17" s="142" customFormat="1" ht="30" customHeight="1">
      <c r="B25" s="176"/>
      <c r="C25" s="197" t="s">
        <v>10</v>
      </c>
      <c r="D25" s="276">
        <v>251</v>
      </c>
      <c r="E25" s="276">
        <v>236.7</v>
      </c>
      <c r="F25" s="198" t="s">
        <v>52</v>
      </c>
      <c r="G25" s="288" t="s">
        <v>220</v>
      </c>
      <c r="H25" s="175"/>
    </row>
    <row r="26" spans="2:17" s="142" customFormat="1" ht="28.5" customHeight="1">
      <c r="B26" s="176"/>
      <c r="C26" s="201" t="s">
        <v>225</v>
      </c>
      <c r="D26" s="514">
        <f>VLOOKUP(D24,'GER-waarden'!B6:C20,2,FALSE)</f>
        <v>75.099999999999994</v>
      </c>
      <c r="E26" s="514"/>
      <c r="F26" s="202" t="s">
        <v>1</v>
      </c>
      <c r="G26" s="206" t="s">
        <v>68</v>
      </c>
      <c r="H26" s="175"/>
      <c r="I26" s="204"/>
    </row>
    <row r="27" spans="2:17" s="142" customFormat="1" ht="27" customHeight="1" thickBot="1">
      <c r="B27" s="176"/>
      <c r="C27" s="209" t="s">
        <v>278</v>
      </c>
      <c r="D27" s="463">
        <f>VLOOKUP(E24,'GER-waarden'!B6:C20,2,FALSE)</f>
        <v>75.099999999999994</v>
      </c>
      <c r="E27" s="463"/>
      <c r="F27" s="210" t="s">
        <v>1</v>
      </c>
      <c r="G27" s="211" t="s">
        <v>68</v>
      </c>
      <c r="H27" s="175"/>
    </row>
    <row r="28" spans="2:17" s="142" customFormat="1" ht="16.5">
      <c r="B28" s="176"/>
      <c r="C28" s="212"/>
      <c r="D28" s="212"/>
      <c r="E28" s="212"/>
      <c r="F28" s="212"/>
      <c r="G28" s="212"/>
      <c r="H28" s="175"/>
    </row>
    <row r="29" spans="2:17" s="142" customFormat="1" ht="17.25" thickBot="1">
      <c r="B29" s="176"/>
      <c r="C29" s="213" t="s">
        <v>130</v>
      </c>
      <c r="D29" s="214"/>
      <c r="E29" s="214"/>
      <c r="F29" s="215"/>
      <c r="G29" s="216"/>
      <c r="H29" s="175"/>
    </row>
    <row r="30" spans="2:17" s="142" customFormat="1" ht="23.25" customHeight="1">
      <c r="B30" s="176"/>
      <c r="C30" s="217"/>
      <c r="D30" s="218" t="s">
        <v>118</v>
      </c>
      <c r="E30" s="218" t="s">
        <v>270</v>
      </c>
      <c r="F30" s="219" t="s">
        <v>0</v>
      </c>
      <c r="G30" s="220" t="s">
        <v>3</v>
      </c>
      <c r="H30" s="175"/>
    </row>
    <row r="31" spans="2:17" s="142" customFormat="1" ht="14.25" customHeight="1">
      <c r="B31" s="176"/>
      <c r="C31" s="221" t="s">
        <v>133</v>
      </c>
      <c r="D31" s="296">
        <v>0</v>
      </c>
      <c r="E31" s="296">
        <v>0</v>
      </c>
      <c r="F31" s="287" t="s">
        <v>131</v>
      </c>
      <c r="G31" s="329" t="s">
        <v>220</v>
      </c>
      <c r="H31" s="175"/>
    </row>
    <row r="32" spans="2:17" s="142" customFormat="1" ht="14.25" customHeight="1">
      <c r="B32" s="176"/>
      <c r="C32" s="289" t="s">
        <v>134</v>
      </c>
      <c r="D32" s="296">
        <v>0</v>
      </c>
      <c r="E32" s="296">
        <v>0</v>
      </c>
      <c r="F32" s="225" t="s">
        <v>132</v>
      </c>
      <c r="G32" s="329" t="s">
        <v>220</v>
      </c>
      <c r="H32" s="175"/>
    </row>
    <row r="33" spans="2:18" s="142" customFormat="1" ht="14.25" customHeight="1">
      <c r="B33" s="176"/>
      <c r="C33" s="221" t="s">
        <v>79</v>
      </c>
      <c r="D33" s="455">
        <v>11.3</v>
      </c>
      <c r="E33" s="456"/>
      <c r="F33" s="290" t="s">
        <v>82</v>
      </c>
      <c r="G33" s="228" t="s">
        <v>68</v>
      </c>
      <c r="H33" s="175"/>
      <c r="J33" s="229"/>
    </row>
    <row r="34" spans="2:18" s="142" customFormat="1" ht="14.25" customHeight="1">
      <c r="B34" s="176"/>
      <c r="C34" s="325" t="s">
        <v>80</v>
      </c>
      <c r="D34" s="488">
        <v>45.2</v>
      </c>
      <c r="E34" s="458"/>
      <c r="F34" s="292" t="s">
        <v>81</v>
      </c>
      <c r="G34" s="232" t="s">
        <v>68</v>
      </c>
      <c r="H34" s="175"/>
      <c r="J34" s="229"/>
      <c r="L34" s="152"/>
    </row>
    <row r="35" spans="2:18" s="142" customFormat="1" ht="16.5">
      <c r="B35" s="176"/>
      <c r="C35" s="233" t="s">
        <v>193</v>
      </c>
      <c r="D35" s="214"/>
      <c r="E35" s="214"/>
      <c r="F35" s="215"/>
      <c r="G35" s="216"/>
      <c r="H35" s="175"/>
    </row>
    <row r="36" spans="2:18" s="142" customFormat="1" ht="17.25" customHeight="1">
      <c r="B36" s="176"/>
      <c r="C36" s="212"/>
      <c r="D36" s="234"/>
      <c r="E36" s="234"/>
      <c r="F36" s="234"/>
      <c r="G36" s="214"/>
      <c r="H36" s="175"/>
    </row>
    <row r="37" spans="2:18" s="142" customFormat="1" ht="17.25" customHeight="1" thickBot="1">
      <c r="B37" s="176"/>
      <c r="C37" s="235" t="s">
        <v>75</v>
      </c>
      <c r="D37" s="234"/>
      <c r="E37" s="234"/>
      <c r="F37" s="234"/>
      <c r="G37" s="214"/>
      <c r="H37" s="175"/>
    </row>
    <row r="38" spans="2:18" s="142" customFormat="1" ht="16.5">
      <c r="B38" s="176"/>
      <c r="C38" s="236" t="s">
        <v>260</v>
      </c>
      <c r="D38" s="237"/>
      <c r="E38" s="237"/>
      <c r="F38" s="238"/>
      <c r="G38" s="239"/>
      <c r="H38" s="175"/>
    </row>
    <row r="39" spans="2:18" s="142" customFormat="1" ht="50.45" customHeight="1">
      <c r="B39" s="176"/>
      <c r="C39" s="479" t="s">
        <v>32</v>
      </c>
      <c r="D39" s="480"/>
      <c r="E39" s="480"/>
      <c r="F39" s="251">
        <f>(D25*D26)</f>
        <v>18850.099999999999</v>
      </c>
      <c r="G39" s="309" t="s">
        <v>76</v>
      </c>
      <c r="H39" s="175"/>
    </row>
    <row r="40" spans="2:18" s="142" customFormat="1" ht="45.6" customHeight="1">
      <c r="B40" s="176"/>
      <c r="C40" s="483" t="s">
        <v>190</v>
      </c>
      <c r="D40" s="484"/>
      <c r="E40" s="484"/>
      <c r="F40" s="310">
        <f>((D32*D33)+(D31*D34))/1000</f>
        <v>0</v>
      </c>
      <c r="G40" s="316" t="s">
        <v>76</v>
      </c>
      <c r="H40" s="175"/>
    </row>
    <row r="41" spans="2:18" s="142" customFormat="1" ht="36.6" customHeight="1" thickBot="1">
      <c r="B41" s="176"/>
      <c r="C41" s="489" t="s">
        <v>28</v>
      </c>
      <c r="D41" s="490"/>
      <c r="E41" s="490"/>
      <c r="F41" s="326">
        <f>(F39+F40)/D23</f>
        <v>3.0650569105691053E-4</v>
      </c>
      <c r="G41" s="243" t="s">
        <v>165</v>
      </c>
      <c r="H41" s="175"/>
    </row>
    <row r="42" spans="2:18" s="142" customFormat="1" ht="16.5">
      <c r="B42" s="176"/>
      <c r="C42" s="445" t="s">
        <v>282</v>
      </c>
      <c r="D42" s="446"/>
      <c r="E42" s="446"/>
      <c r="F42" s="245"/>
      <c r="G42" s="246"/>
      <c r="H42" s="175"/>
      <c r="R42" s="204"/>
    </row>
    <row r="43" spans="2:18" s="142" customFormat="1" ht="38.450000000000003" customHeight="1">
      <c r="B43" s="176"/>
      <c r="C43" s="479" t="s">
        <v>279</v>
      </c>
      <c r="D43" s="480"/>
      <c r="E43" s="480"/>
      <c r="F43" s="308">
        <f>(E25*D27)</f>
        <v>17776.169999999998</v>
      </c>
      <c r="G43" s="309" t="s">
        <v>76</v>
      </c>
      <c r="H43" s="175"/>
    </row>
    <row r="44" spans="2:18" s="142" customFormat="1" ht="44.45" customHeight="1">
      <c r="B44" s="176"/>
      <c r="C44" s="515" t="s">
        <v>277</v>
      </c>
      <c r="D44" s="516"/>
      <c r="E44" s="516"/>
      <c r="F44" s="251">
        <f>((E31*D34)+(E32*D33))/1000</f>
        <v>0</v>
      </c>
      <c r="G44" s="311" t="s">
        <v>76</v>
      </c>
      <c r="H44" s="175"/>
    </row>
    <row r="45" spans="2:18" s="142" customFormat="1" ht="36.6" customHeight="1" thickBot="1">
      <c r="B45" s="176"/>
      <c r="C45" s="489" t="s">
        <v>274</v>
      </c>
      <c r="D45" s="490"/>
      <c r="E45" s="490"/>
      <c r="F45" s="330">
        <f>(F43+F44)/E23</f>
        <v>2.890434146341463E-4</v>
      </c>
      <c r="G45" s="315" t="s">
        <v>165</v>
      </c>
      <c r="H45" s="318"/>
    </row>
    <row r="46" spans="2:18" s="142" customFormat="1" ht="16.5">
      <c r="B46" s="176"/>
      <c r="C46" s="319" t="s">
        <v>74</v>
      </c>
      <c r="D46" s="237"/>
      <c r="E46" s="237"/>
      <c r="F46" s="245"/>
      <c r="G46" s="239"/>
      <c r="H46" s="175"/>
    </row>
    <row r="47" spans="2:18" s="142" customFormat="1" ht="36" customHeight="1">
      <c r="B47" s="176"/>
      <c r="C47" s="515" t="s">
        <v>275</v>
      </c>
      <c r="D47" s="516"/>
      <c r="E47" s="516"/>
      <c r="F47" s="327">
        <f>F41-F45</f>
        <v>1.7462276422764225E-5</v>
      </c>
      <c r="G47" s="309" t="s">
        <v>165</v>
      </c>
      <c r="H47" s="175"/>
      <c r="J47" s="152"/>
    </row>
    <row r="48" spans="2:18" s="142" customFormat="1" ht="29.45" customHeight="1" thickBot="1">
      <c r="B48" s="176"/>
      <c r="C48" s="517" t="s">
        <v>24</v>
      </c>
      <c r="D48" s="518"/>
      <c r="E48" s="331"/>
      <c r="F48" s="314">
        <f>F47*E23</f>
        <v>1073.9299999999998</v>
      </c>
      <c r="G48" s="243" t="s">
        <v>76</v>
      </c>
      <c r="H48" s="175"/>
    </row>
    <row r="49" spans="2:10" s="142" customFormat="1" ht="17.25" thickBot="1">
      <c r="B49" s="176"/>
      <c r="C49" s="212"/>
      <c r="D49" s="214"/>
      <c r="E49" s="214"/>
      <c r="F49" s="255"/>
      <c r="G49" s="214"/>
      <c r="H49" s="175"/>
    </row>
    <row r="50" spans="2:10" s="142" customFormat="1" ht="18" customHeight="1" thickBot="1">
      <c r="B50" s="176"/>
      <c r="C50" s="256" t="s">
        <v>259</v>
      </c>
      <c r="D50" s="214"/>
      <c r="E50" s="257"/>
      <c r="F50" s="258">
        <f>F48/1000</f>
        <v>1.0739299999999998</v>
      </c>
      <c r="G50" s="259" t="s">
        <v>77</v>
      </c>
      <c r="H50" s="175"/>
    </row>
    <row r="51" spans="2:10" s="142" customFormat="1" ht="16.5">
      <c r="B51" s="176"/>
      <c r="C51" s="212"/>
      <c r="D51" s="260"/>
      <c r="E51" s="449"/>
      <c r="F51" s="450"/>
      <c r="G51" s="450"/>
      <c r="H51" s="175"/>
    </row>
    <row r="52" spans="2:10" s="142" customFormat="1" ht="18" customHeight="1">
      <c r="B52" s="176"/>
      <c r="C52" s="261" t="s">
        <v>128</v>
      </c>
      <c r="D52" s="262"/>
      <c r="E52" s="263"/>
      <c r="F52" s="262"/>
      <c r="G52" s="264"/>
      <c r="H52" s="175"/>
    </row>
    <row r="53" spans="2:10" s="142" customFormat="1" ht="62.45" customHeight="1">
      <c r="B53" s="176"/>
      <c r="C53" s="438" t="s">
        <v>226</v>
      </c>
      <c r="D53" s="436"/>
      <c r="E53" s="436"/>
      <c r="F53" s="436"/>
      <c r="G53" s="437"/>
      <c r="H53" s="175"/>
    </row>
    <row r="54" spans="2:10" s="142" customFormat="1" ht="16.5">
      <c r="B54" s="176"/>
      <c r="C54" s="265"/>
      <c r="D54" s="266"/>
      <c r="E54" s="266"/>
      <c r="F54" s="266"/>
      <c r="G54" s="266"/>
      <c r="H54" s="175"/>
    </row>
    <row r="55" spans="2:10" s="142" customFormat="1" ht="16.5">
      <c r="B55" s="176"/>
      <c r="C55" s="261" t="s">
        <v>135</v>
      </c>
      <c r="D55" s="262"/>
      <c r="E55" s="267"/>
      <c r="F55" s="268"/>
      <c r="G55" s="262"/>
      <c r="H55" s="175"/>
    </row>
    <row r="56" spans="2:10" s="142" customFormat="1" ht="91.5" customHeight="1">
      <c r="B56" s="269"/>
      <c r="C56" s="435" t="s">
        <v>137</v>
      </c>
      <c r="D56" s="436"/>
      <c r="E56" s="436"/>
      <c r="F56" s="436"/>
      <c r="G56" s="437"/>
      <c r="H56" s="175"/>
      <c r="J56" s="270"/>
    </row>
    <row r="57" spans="2:10" s="142" customFormat="1" ht="15" customHeight="1" thickBot="1">
      <c r="B57" s="271"/>
      <c r="C57" s="272"/>
      <c r="D57" s="272"/>
      <c r="E57" s="272"/>
      <c r="F57" s="272"/>
      <c r="G57" s="272"/>
      <c r="H57" s="273"/>
    </row>
    <row r="58" spans="2:10" s="297" customFormat="1"/>
    <row r="59" spans="2:10" s="297" customFormat="1"/>
    <row r="60" spans="2:10" s="297" customFormat="1"/>
    <row r="61" spans="2:10" s="297" customFormat="1"/>
    <row r="62" spans="2:10" s="297" customFormat="1"/>
    <row r="63" spans="2:10" s="297" customFormat="1"/>
    <row r="64" spans="2:10" s="297" customFormat="1"/>
    <row r="65" s="297" customFormat="1"/>
    <row r="66" s="297" customFormat="1"/>
    <row r="67" s="297" customFormat="1"/>
    <row r="68" s="297" customFormat="1"/>
    <row r="69" s="297" customFormat="1"/>
    <row r="70" s="297" customFormat="1"/>
    <row r="71" s="297" customFormat="1"/>
    <row r="72" s="297" customFormat="1"/>
    <row r="73" s="297" customFormat="1"/>
    <row r="74" s="297" customFormat="1"/>
    <row r="75" s="297" customFormat="1"/>
    <row r="76" s="297" customFormat="1"/>
    <row r="77" s="297" customFormat="1"/>
    <row r="78" s="297" customFormat="1"/>
    <row r="79" s="297" customFormat="1"/>
    <row r="80" s="297" customFormat="1"/>
    <row r="81" s="297" customFormat="1"/>
    <row r="82" s="297" customFormat="1"/>
    <row r="83" s="297" customFormat="1"/>
    <row r="84" s="297" customFormat="1"/>
    <row r="85" s="297" customFormat="1"/>
    <row r="86" s="297" customFormat="1"/>
    <row r="87" s="297" customFormat="1"/>
    <row r="88" s="297" customFormat="1"/>
    <row r="89" s="297" customFormat="1"/>
    <row r="90" s="297" customFormat="1"/>
    <row r="91" s="297" customFormat="1"/>
    <row r="92" s="297" customFormat="1"/>
    <row r="93" s="297" customFormat="1"/>
    <row r="94" s="297" customFormat="1"/>
    <row r="95" s="297" customFormat="1"/>
    <row r="96" s="297" customFormat="1"/>
    <row r="97" s="297" customFormat="1"/>
    <row r="98" s="297" customFormat="1"/>
    <row r="99" s="297" customFormat="1"/>
    <row r="100" s="297" customFormat="1"/>
    <row r="101" s="297" customFormat="1"/>
    <row r="102" s="297" customFormat="1"/>
    <row r="103" s="297" customFormat="1"/>
    <row r="104" s="297" customFormat="1"/>
    <row r="105" s="297" customFormat="1"/>
    <row r="106" s="297" customFormat="1"/>
    <row r="107" s="297" customFormat="1"/>
    <row r="108" s="297" customFormat="1"/>
    <row r="109" s="297" customFormat="1"/>
    <row r="110" s="297" customFormat="1"/>
    <row r="111" s="297" customFormat="1"/>
    <row r="112" s="297" customFormat="1"/>
    <row r="113" s="297" customFormat="1"/>
    <row r="114" s="297" customFormat="1"/>
    <row r="115" s="297" customFormat="1"/>
    <row r="116" s="297" customFormat="1"/>
    <row r="117" s="297" customFormat="1"/>
    <row r="118" s="297" customFormat="1"/>
    <row r="119" s="297" customFormat="1"/>
    <row r="120" s="297" customFormat="1"/>
    <row r="121" s="297" customFormat="1"/>
    <row r="122" s="297" customFormat="1"/>
    <row r="123" s="297" customFormat="1"/>
    <row r="124" s="297" customFormat="1"/>
    <row r="125" s="297" customFormat="1"/>
    <row r="126" s="297" customFormat="1"/>
    <row r="127" s="297" customFormat="1"/>
    <row r="128" s="297" customFormat="1"/>
    <row r="129" s="297" customFormat="1"/>
    <row r="130" s="297" customFormat="1"/>
    <row r="131" s="297" customFormat="1"/>
    <row r="132" s="297" customFormat="1"/>
    <row r="133" s="297" customFormat="1"/>
    <row r="134" s="297" customFormat="1"/>
    <row r="135" s="297" customFormat="1"/>
    <row r="136" s="297" customFormat="1"/>
    <row r="137" s="297" customFormat="1"/>
    <row r="138" s="297" customFormat="1"/>
    <row r="139" s="297" customFormat="1"/>
    <row r="140" s="297" customFormat="1"/>
    <row r="141" s="297" customFormat="1"/>
    <row r="142" s="297" customFormat="1"/>
    <row r="143" s="297" customFormat="1"/>
    <row r="144" s="297" customFormat="1"/>
    <row r="145" s="297" customFormat="1"/>
    <row r="146" s="297" customFormat="1"/>
    <row r="147" s="297" customFormat="1"/>
    <row r="148" s="297" customFormat="1"/>
    <row r="149" s="297" customFormat="1"/>
    <row r="150" s="297" customFormat="1"/>
    <row r="151" s="297" customFormat="1"/>
    <row r="152" s="297" customFormat="1"/>
    <row r="153" s="297" customFormat="1"/>
    <row r="154" s="297" customFormat="1"/>
    <row r="155" s="297" customFormat="1"/>
    <row r="156" s="297" customFormat="1"/>
    <row r="157" s="297" customFormat="1"/>
    <row r="158" s="297" customFormat="1"/>
    <row r="159" s="297" customFormat="1"/>
    <row r="160" s="297" customFormat="1"/>
    <row r="161" s="297" customFormat="1"/>
    <row r="162" s="297" customFormat="1"/>
    <row r="163" s="297" customFormat="1"/>
    <row r="164" s="297" customFormat="1"/>
    <row r="165" s="297" customFormat="1"/>
    <row r="166" s="297" customFormat="1"/>
    <row r="167" s="297" customFormat="1"/>
    <row r="168" s="297" customFormat="1"/>
    <row r="169" s="297" customFormat="1"/>
    <row r="170" s="297" customFormat="1"/>
    <row r="171" s="297" customFormat="1"/>
    <row r="172" s="297" customFormat="1"/>
    <row r="173" s="297" customFormat="1"/>
    <row r="174" s="297" customFormat="1"/>
    <row r="175" s="297" customFormat="1"/>
    <row r="176" s="297" customFormat="1"/>
    <row r="177" s="297" customFormat="1"/>
    <row r="178" s="297" customFormat="1"/>
    <row r="179" s="297" customFormat="1"/>
    <row r="180" s="297" customFormat="1"/>
    <row r="181" s="297" customFormat="1"/>
    <row r="182" s="297" customFormat="1"/>
    <row r="183" s="297" customFormat="1"/>
    <row r="184" s="297" customFormat="1"/>
    <row r="185" s="297" customFormat="1"/>
    <row r="186" s="297" customFormat="1"/>
    <row r="187" s="297" customFormat="1"/>
    <row r="188" s="297" customFormat="1"/>
    <row r="189" s="297" customFormat="1"/>
    <row r="190" s="297" customFormat="1"/>
    <row r="191" s="297" customFormat="1"/>
    <row r="192" s="297" customFormat="1"/>
    <row r="193" s="297" customFormat="1"/>
    <row r="194" s="297" customFormat="1"/>
    <row r="195" s="297" customFormat="1"/>
    <row r="196" s="297" customFormat="1"/>
    <row r="197" s="297" customFormat="1"/>
    <row r="198" s="297" customFormat="1"/>
    <row r="199" s="297" customFormat="1"/>
    <row r="200" s="297" customFormat="1"/>
    <row r="201" s="297" customFormat="1"/>
    <row r="202" s="297" customFormat="1"/>
    <row r="203" s="297" customFormat="1"/>
    <row r="204" s="297" customFormat="1"/>
    <row r="205" s="297" customFormat="1"/>
    <row r="206" s="297" customFormat="1"/>
    <row r="207" s="297" customFormat="1"/>
    <row r="208" s="297" customFormat="1"/>
    <row r="209" s="297" customFormat="1"/>
    <row r="210" s="297" customFormat="1"/>
    <row r="211" s="297" customFormat="1"/>
    <row r="212" s="297" customFormat="1"/>
    <row r="213" s="297" customFormat="1"/>
    <row r="214" s="297" customFormat="1"/>
    <row r="215" s="297" customFormat="1"/>
    <row r="216" s="297" customFormat="1"/>
    <row r="217" s="297" customFormat="1"/>
    <row r="218" s="297" customFormat="1"/>
    <row r="219" s="297" customFormat="1"/>
    <row r="220" s="297" customFormat="1"/>
    <row r="221" s="297" customFormat="1"/>
    <row r="222" s="297" customFormat="1"/>
    <row r="223" s="297" customFormat="1"/>
    <row r="224" s="297" customFormat="1"/>
    <row r="225" s="297" customFormat="1"/>
    <row r="226" s="297" customFormat="1"/>
    <row r="227" s="297" customFormat="1"/>
    <row r="228" s="297" customFormat="1"/>
    <row r="229" s="297" customFormat="1"/>
    <row r="230" s="297" customFormat="1"/>
    <row r="231" s="297" customFormat="1"/>
    <row r="232" s="297" customFormat="1"/>
    <row r="233" s="297" customFormat="1"/>
    <row r="234" s="297" customFormat="1"/>
    <row r="235" s="297" customFormat="1"/>
    <row r="236" s="297" customFormat="1"/>
    <row r="237" s="297" customFormat="1"/>
    <row r="238" s="297" customFormat="1"/>
    <row r="239" s="297" customFormat="1"/>
    <row r="240" s="297" customFormat="1"/>
    <row r="241" s="297" customFormat="1"/>
    <row r="242" s="297" customFormat="1"/>
    <row r="243" s="297" customFormat="1"/>
    <row r="244" s="297" customFormat="1"/>
    <row r="245" s="297" customFormat="1"/>
    <row r="246" s="297" customFormat="1"/>
    <row r="247" s="297" customFormat="1"/>
    <row r="248" s="297" customFormat="1"/>
    <row r="249" s="297" customFormat="1"/>
    <row r="250" s="297" customFormat="1"/>
    <row r="251" s="297" customFormat="1"/>
    <row r="252" s="297" customFormat="1"/>
    <row r="253" s="297" customFormat="1"/>
    <row r="254" s="297" customFormat="1"/>
    <row r="255" s="297" customFormat="1"/>
    <row r="256" s="297" customFormat="1"/>
    <row r="257" s="297" customFormat="1"/>
    <row r="258" s="297" customFormat="1"/>
    <row r="259" s="297" customFormat="1"/>
    <row r="260" s="297" customFormat="1"/>
    <row r="261" s="297" customFormat="1"/>
  </sheetData>
  <protectedRanges>
    <protectedRange sqref="D25:E27 D23:E23" name="Bereik1_4_3"/>
  </protectedRanges>
  <mergeCells count="28">
    <mergeCell ref="C53:G53"/>
    <mergeCell ref="C56:G56"/>
    <mergeCell ref="D4:G4"/>
    <mergeCell ref="D5:G5"/>
    <mergeCell ref="D6:G6"/>
    <mergeCell ref="D8:G8"/>
    <mergeCell ref="D9:G9"/>
    <mergeCell ref="D10:G10"/>
    <mergeCell ref="D11:G11"/>
    <mergeCell ref="D12:G12"/>
    <mergeCell ref="D13:G13"/>
    <mergeCell ref="D14:G14"/>
    <mergeCell ref="C43:E43"/>
    <mergeCell ref="C44:E44"/>
    <mergeCell ref="C47:E47"/>
    <mergeCell ref="C48:D48"/>
    <mergeCell ref="E51:G51"/>
    <mergeCell ref="C18:F18"/>
    <mergeCell ref="C19:G19"/>
    <mergeCell ref="C39:E39"/>
    <mergeCell ref="C40:E40"/>
    <mergeCell ref="C42:E42"/>
    <mergeCell ref="D26:E26"/>
    <mergeCell ref="D27:E27"/>
    <mergeCell ref="D33:E33"/>
    <mergeCell ref="D34:E34"/>
    <mergeCell ref="C41:E41"/>
    <mergeCell ref="C45:E45"/>
  </mergeCells>
  <pageMargins left="0.70866141732283472" right="0.70866141732283472" top="0.74803149606299213" bottom="0.74803149606299213" header="0.31496062992125984" footer="0.31496062992125984"/>
  <pageSetup paperSize="9" scale="72" fitToHeight="2" orientation="portrait" r:id="rId1"/>
  <extLst>
    <ext xmlns:x14="http://schemas.microsoft.com/office/spreadsheetml/2009/9/main" uri="{CCE6A557-97BC-4b89-ADB6-D9C93CAAB3DF}">
      <x14:dataValidations xmlns:xm="http://schemas.microsoft.com/office/excel/2006/main" count="1">
        <x14:dataValidation type="list" allowBlank="1" showInputMessage="1">
          <x14:formula1>
            <xm:f>'GER-waarden'!$B$157:$B$169</xm:f>
          </x14:formula1>
          <xm:sqref>D24:E24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enableFormatConditionsCalculation="0">
    <tabColor rgb="FF92D050"/>
    <pageSetUpPr fitToPage="1"/>
  </sheetPr>
  <dimension ref="A1:R65"/>
  <sheetViews>
    <sheetView workbookViewId="0"/>
  </sheetViews>
  <sheetFormatPr defaultColWidth="8.85546875" defaultRowHeight="12.75"/>
  <cols>
    <col min="1" max="2" width="3.7109375" style="297" customWidth="1"/>
    <col min="3" max="3" width="40.85546875" style="297" customWidth="1"/>
    <col min="4" max="4" width="23" style="297" customWidth="1"/>
    <col min="5" max="5" width="21.42578125" style="297" customWidth="1"/>
    <col min="6" max="6" width="11" style="297" customWidth="1"/>
    <col min="7" max="7" width="22.5703125" style="297" customWidth="1"/>
    <col min="8" max="8" width="3.7109375" style="297" customWidth="1"/>
    <col min="9" max="16384" width="8.85546875" style="297"/>
  </cols>
  <sheetData>
    <row r="1" spans="1:17" ht="15.75" thickBot="1">
      <c r="A1" s="142"/>
      <c r="B1" s="142"/>
      <c r="C1" s="142"/>
      <c r="D1" s="142"/>
      <c r="E1" s="142"/>
      <c r="F1" s="142"/>
      <c r="G1" s="142"/>
      <c r="H1" s="142"/>
      <c r="I1" s="142"/>
    </row>
    <row r="2" spans="1:17" ht="15">
      <c r="A2" s="142"/>
      <c r="B2" s="143"/>
      <c r="C2" s="144"/>
      <c r="D2" s="144"/>
      <c r="E2" s="145"/>
      <c r="F2" s="145"/>
      <c r="G2" s="145"/>
      <c r="H2" s="146"/>
      <c r="I2" s="142"/>
    </row>
    <row r="3" spans="1:17" ht="15">
      <c r="A3" s="142"/>
      <c r="B3" s="147"/>
      <c r="C3" s="148" t="s">
        <v>125</v>
      </c>
      <c r="D3" s="149"/>
      <c r="E3" s="150"/>
      <c r="F3" s="149"/>
      <c r="G3" s="149"/>
      <c r="H3" s="151"/>
      <c r="I3" s="142"/>
    </row>
    <row r="4" spans="1:17" ht="15">
      <c r="A4" s="142"/>
      <c r="B4" s="147"/>
      <c r="C4" s="153" t="s">
        <v>109</v>
      </c>
      <c r="D4" s="427" t="s">
        <v>173</v>
      </c>
      <c r="E4" s="427"/>
      <c r="F4" s="427"/>
      <c r="G4" s="427"/>
      <c r="H4" s="151"/>
      <c r="I4" s="142"/>
    </row>
    <row r="5" spans="1:17" ht="15" customHeight="1">
      <c r="A5" s="142"/>
      <c r="B5" s="147"/>
      <c r="C5" s="154" t="s">
        <v>110</v>
      </c>
      <c r="D5" s="428" t="s">
        <v>111</v>
      </c>
      <c r="E5" s="428"/>
      <c r="F5" s="428"/>
      <c r="G5" s="428"/>
      <c r="H5" s="151"/>
      <c r="I5" s="142"/>
    </row>
    <row r="6" spans="1:17" ht="14.25" customHeight="1">
      <c r="A6" s="142"/>
      <c r="B6" s="147"/>
      <c r="C6" s="154" t="s">
        <v>112</v>
      </c>
      <c r="D6" s="429" t="s">
        <v>174</v>
      </c>
      <c r="E6" s="425"/>
      <c r="F6" s="425"/>
      <c r="G6" s="426"/>
      <c r="H6" s="151"/>
      <c r="I6" s="142"/>
    </row>
    <row r="7" spans="1:17" ht="14.25" customHeight="1">
      <c r="A7" s="142"/>
      <c r="B7" s="147"/>
      <c r="C7" s="154" t="s">
        <v>120</v>
      </c>
      <c r="D7" s="156" t="s">
        <v>177</v>
      </c>
      <c r="E7" s="157"/>
      <c r="F7" s="157"/>
      <c r="G7" s="158"/>
      <c r="H7" s="151"/>
      <c r="I7" s="142"/>
    </row>
    <row r="8" spans="1:17" ht="17.25" customHeight="1">
      <c r="A8" s="142"/>
      <c r="B8" s="147"/>
      <c r="C8" s="154" t="s">
        <v>385</v>
      </c>
      <c r="D8" s="430">
        <v>2017</v>
      </c>
      <c r="E8" s="431"/>
      <c r="F8" s="431"/>
      <c r="G8" s="432"/>
      <c r="H8" s="151"/>
      <c r="I8" s="142"/>
    </row>
    <row r="9" spans="1:17" ht="15">
      <c r="A9" s="142"/>
      <c r="B9" s="147"/>
      <c r="C9" s="154" t="s">
        <v>113</v>
      </c>
      <c r="D9" s="423">
        <v>1</v>
      </c>
      <c r="E9" s="423"/>
      <c r="F9" s="423"/>
      <c r="G9" s="423"/>
      <c r="H9" s="151"/>
      <c r="I9" s="142"/>
    </row>
    <row r="10" spans="1:17" ht="14.25" customHeight="1">
      <c r="A10" s="142"/>
      <c r="B10" s="147"/>
      <c r="C10" s="154" t="s">
        <v>114</v>
      </c>
      <c r="D10" s="423">
        <v>1</v>
      </c>
      <c r="E10" s="423"/>
      <c r="F10" s="423"/>
      <c r="G10" s="423"/>
      <c r="H10" s="151"/>
      <c r="I10" s="142"/>
    </row>
    <row r="11" spans="1:17" ht="15" customHeight="1">
      <c r="A11" s="142"/>
      <c r="B11" s="147"/>
      <c r="C11" s="154" t="s">
        <v>115</v>
      </c>
      <c r="D11" s="424">
        <f>F50</f>
        <v>0.26285000000000008</v>
      </c>
      <c r="E11" s="425"/>
      <c r="F11" s="425"/>
      <c r="G11" s="426"/>
      <c r="H11" s="151"/>
      <c r="I11" s="142"/>
    </row>
    <row r="12" spans="1:17" ht="15" customHeight="1">
      <c r="A12" s="142"/>
      <c r="B12" s="147"/>
      <c r="C12" s="154" t="s">
        <v>126</v>
      </c>
      <c r="D12" s="424">
        <f>D9*D11</f>
        <v>0.26285000000000008</v>
      </c>
      <c r="E12" s="425"/>
      <c r="F12" s="425"/>
      <c r="G12" s="426"/>
      <c r="H12" s="151"/>
      <c r="I12" s="142"/>
    </row>
    <row r="13" spans="1:17" ht="17.25" customHeight="1">
      <c r="A13" s="142"/>
      <c r="B13" s="147"/>
      <c r="C13" s="154" t="s">
        <v>291</v>
      </c>
      <c r="D13" s="424">
        <f>(IF(D8&lt;2017,4,2021-D8))*D11</f>
        <v>1.0514000000000003</v>
      </c>
      <c r="E13" s="425"/>
      <c r="F13" s="425"/>
      <c r="G13" s="426"/>
      <c r="H13" s="151"/>
      <c r="I13" s="142"/>
    </row>
    <row r="14" spans="1:17" ht="14.25" customHeight="1">
      <c r="A14" s="142"/>
      <c r="B14" s="147"/>
      <c r="C14" s="154" t="s">
        <v>127</v>
      </c>
      <c r="D14" s="424">
        <f>D13*D9</f>
        <v>1.0514000000000003</v>
      </c>
      <c r="E14" s="425"/>
      <c r="F14" s="425"/>
      <c r="G14" s="426"/>
      <c r="H14" s="151"/>
      <c r="I14" s="142"/>
    </row>
    <row r="15" spans="1:17" ht="14.25" customHeight="1" thickBot="1">
      <c r="A15" s="142"/>
      <c r="B15" s="160"/>
      <c r="C15" s="161"/>
      <c r="D15" s="162"/>
      <c r="E15" s="163"/>
      <c r="F15" s="163"/>
      <c r="G15" s="163"/>
      <c r="H15" s="164"/>
      <c r="I15" s="142"/>
    </row>
    <row r="16" spans="1:17" s="142" customFormat="1" ht="15.75" thickBot="1">
      <c r="A16" s="152"/>
      <c r="B16" s="155"/>
      <c r="C16" s="165"/>
      <c r="D16" s="166"/>
      <c r="E16" s="167"/>
      <c r="F16" s="167"/>
      <c r="G16" s="167"/>
      <c r="H16" s="165"/>
      <c r="I16" s="152"/>
      <c r="J16" s="152"/>
      <c r="K16" s="152"/>
      <c r="L16" s="152"/>
      <c r="M16" s="152"/>
      <c r="N16" s="152"/>
      <c r="O16" s="152"/>
      <c r="P16" s="152"/>
      <c r="Q16" s="152"/>
    </row>
    <row r="17" spans="2:17" s="142" customFormat="1" ht="16.5">
      <c r="B17" s="168"/>
      <c r="C17" s="169"/>
      <c r="D17" s="169"/>
      <c r="E17" s="170"/>
      <c r="F17" s="171"/>
      <c r="G17" s="171"/>
      <c r="H17" s="172"/>
    </row>
    <row r="18" spans="2:17" s="142" customFormat="1" ht="47.25" customHeight="1">
      <c r="B18" s="173"/>
      <c r="C18" s="464" t="s">
        <v>175</v>
      </c>
      <c r="D18" s="464"/>
      <c r="E18" s="464"/>
      <c r="F18" s="464"/>
      <c r="G18" s="174"/>
      <c r="H18" s="175"/>
    </row>
    <row r="19" spans="2:17" s="142" customFormat="1" ht="123" customHeight="1">
      <c r="B19" s="173"/>
      <c r="C19" s="465" t="s">
        <v>299</v>
      </c>
      <c r="D19" s="465"/>
      <c r="E19" s="465"/>
      <c r="F19" s="465"/>
      <c r="G19" s="465"/>
      <c r="H19" s="175"/>
    </row>
    <row r="20" spans="2:17" s="142" customFormat="1" ht="16.5">
      <c r="B20" s="176"/>
      <c r="C20" s="177"/>
      <c r="D20" s="178"/>
      <c r="E20" s="179"/>
      <c r="F20" s="179"/>
      <c r="G20" s="179"/>
      <c r="H20" s="151"/>
      <c r="J20" s="152"/>
      <c r="K20" s="152"/>
      <c r="L20" s="152"/>
      <c r="M20" s="152"/>
      <c r="N20" s="152"/>
      <c r="O20" s="152"/>
      <c r="P20" s="152"/>
      <c r="Q20" s="152"/>
    </row>
    <row r="21" spans="2:17" s="142" customFormat="1" ht="21.75" customHeight="1" thickBot="1">
      <c r="B21" s="173"/>
      <c r="C21" s="180" t="s">
        <v>129</v>
      </c>
      <c r="D21" s="181"/>
      <c r="E21" s="181"/>
      <c r="F21" s="181"/>
      <c r="G21" s="181"/>
      <c r="H21" s="175"/>
    </row>
    <row r="22" spans="2:17" s="142" customFormat="1" ht="27.75" customHeight="1">
      <c r="B22" s="176"/>
      <c r="C22" s="182"/>
      <c r="D22" s="298" t="s">
        <v>118</v>
      </c>
      <c r="E22" s="298" t="s">
        <v>267</v>
      </c>
      <c r="F22" s="184" t="s">
        <v>0</v>
      </c>
      <c r="G22" s="185" t="s">
        <v>3</v>
      </c>
      <c r="H22" s="175"/>
    </row>
    <row r="23" spans="2:17" s="142" customFormat="1" ht="16.5">
      <c r="B23" s="176"/>
      <c r="C23" s="190" t="s">
        <v>157</v>
      </c>
      <c r="D23" s="274">
        <v>30000</v>
      </c>
      <c r="E23" s="274">
        <v>35000</v>
      </c>
      <c r="F23" s="299" t="s">
        <v>51</v>
      </c>
      <c r="G23" s="288" t="s">
        <v>220</v>
      </c>
      <c r="H23" s="175"/>
    </row>
    <row r="24" spans="2:17" s="142" customFormat="1" ht="16.5">
      <c r="B24" s="186"/>
      <c r="C24" s="196" t="s">
        <v>170</v>
      </c>
      <c r="D24" s="333" t="s">
        <v>11</v>
      </c>
      <c r="E24" s="334" t="s">
        <v>11</v>
      </c>
      <c r="F24" s="328"/>
      <c r="G24" s="288" t="s">
        <v>220</v>
      </c>
      <c r="H24" s="175"/>
    </row>
    <row r="25" spans="2:17" s="142" customFormat="1" ht="30" customHeight="1">
      <c r="B25" s="176"/>
      <c r="C25" s="197" t="s">
        <v>178</v>
      </c>
      <c r="D25" s="275">
        <v>24</v>
      </c>
      <c r="E25" s="275">
        <v>24.5</v>
      </c>
      <c r="F25" s="198" t="s">
        <v>52</v>
      </c>
      <c r="G25" s="288" t="s">
        <v>220</v>
      </c>
      <c r="H25" s="175"/>
    </row>
    <row r="26" spans="2:17" s="142" customFormat="1" ht="28.5" customHeight="1">
      <c r="B26" s="176"/>
      <c r="C26" s="201" t="s">
        <v>179</v>
      </c>
      <c r="D26" s="514">
        <f>VLOOKUP(D24,'GER-waarden'!B6:C25,2,FALSE)</f>
        <v>75.099999999999994</v>
      </c>
      <c r="E26" s="514"/>
      <c r="F26" s="202" t="s">
        <v>1</v>
      </c>
      <c r="G26" s="206" t="s">
        <v>68</v>
      </c>
      <c r="H26" s="175"/>
      <c r="I26" s="204"/>
    </row>
    <row r="27" spans="2:17" s="142" customFormat="1" ht="17.25" thickBot="1">
      <c r="B27" s="176"/>
      <c r="C27" s="209" t="s">
        <v>280</v>
      </c>
      <c r="D27" s="463">
        <f>VLOOKUP(E24,'GER-waarden'!B6:C25,2,FALSE)</f>
        <v>75.099999999999994</v>
      </c>
      <c r="E27" s="463"/>
      <c r="F27" s="210" t="s">
        <v>1</v>
      </c>
      <c r="G27" s="211" t="s">
        <v>68</v>
      </c>
      <c r="H27" s="175"/>
    </row>
    <row r="28" spans="2:17" s="142" customFormat="1" ht="16.5">
      <c r="B28" s="176"/>
      <c r="C28" s="212"/>
      <c r="D28" s="212"/>
      <c r="E28" s="212"/>
      <c r="F28" s="212"/>
      <c r="G28" s="212"/>
      <c r="H28" s="175"/>
    </row>
    <row r="29" spans="2:17" s="142" customFormat="1" ht="17.25" thickBot="1">
      <c r="B29" s="176"/>
      <c r="C29" s="213" t="s">
        <v>130</v>
      </c>
      <c r="D29" s="214"/>
      <c r="E29" s="214"/>
      <c r="F29" s="215"/>
      <c r="G29" s="216"/>
      <c r="H29" s="175"/>
    </row>
    <row r="30" spans="2:17" s="142" customFormat="1" ht="23.25" customHeight="1">
      <c r="B30" s="176"/>
      <c r="C30" s="217"/>
      <c r="D30" s="218" t="s">
        <v>118</v>
      </c>
      <c r="E30" s="218" t="s">
        <v>270</v>
      </c>
      <c r="F30" s="219" t="s">
        <v>0</v>
      </c>
      <c r="G30" s="220" t="s">
        <v>3</v>
      </c>
      <c r="H30" s="175"/>
    </row>
    <row r="31" spans="2:17" s="142" customFormat="1" ht="14.25" customHeight="1">
      <c r="B31" s="176"/>
      <c r="C31" s="221" t="s">
        <v>133</v>
      </c>
      <c r="D31" s="296">
        <v>0</v>
      </c>
      <c r="E31" s="296">
        <v>0</v>
      </c>
      <c r="F31" s="287" t="s">
        <v>131</v>
      </c>
      <c r="G31" s="288" t="s">
        <v>220</v>
      </c>
      <c r="H31" s="175"/>
    </row>
    <row r="32" spans="2:17" s="142" customFormat="1" ht="14.25" customHeight="1">
      <c r="B32" s="176"/>
      <c r="C32" s="289" t="s">
        <v>134</v>
      </c>
      <c r="D32" s="296">
        <v>0</v>
      </c>
      <c r="E32" s="296">
        <v>0</v>
      </c>
      <c r="F32" s="225" t="s">
        <v>132</v>
      </c>
      <c r="G32" s="288" t="s">
        <v>220</v>
      </c>
      <c r="H32" s="175"/>
    </row>
    <row r="33" spans="2:18" s="142" customFormat="1" ht="14.25" customHeight="1">
      <c r="B33" s="176"/>
      <c r="C33" s="221" t="s">
        <v>79</v>
      </c>
      <c r="D33" s="455">
        <v>11.3</v>
      </c>
      <c r="E33" s="456"/>
      <c r="F33" s="290" t="s">
        <v>82</v>
      </c>
      <c r="G33" s="228" t="s">
        <v>68</v>
      </c>
      <c r="H33" s="175"/>
      <c r="J33" s="229"/>
    </row>
    <row r="34" spans="2:18" s="142" customFormat="1" ht="14.25" customHeight="1">
      <c r="B34" s="176"/>
      <c r="C34" s="325" t="s">
        <v>80</v>
      </c>
      <c r="D34" s="488">
        <v>45.2</v>
      </c>
      <c r="E34" s="458"/>
      <c r="F34" s="292" t="s">
        <v>81</v>
      </c>
      <c r="G34" s="232" t="s">
        <v>68</v>
      </c>
      <c r="H34" s="175"/>
      <c r="J34" s="229"/>
      <c r="L34" s="152"/>
    </row>
    <row r="35" spans="2:18" s="142" customFormat="1" ht="16.5">
      <c r="B35" s="176"/>
      <c r="C35" s="233" t="s">
        <v>193</v>
      </c>
      <c r="D35" s="214"/>
      <c r="E35" s="214"/>
      <c r="F35" s="215"/>
      <c r="G35" s="216"/>
      <c r="H35" s="175"/>
    </row>
    <row r="36" spans="2:18" s="142" customFormat="1" ht="17.25" customHeight="1">
      <c r="B36" s="176"/>
      <c r="C36" s="212"/>
      <c r="D36" s="234"/>
      <c r="E36" s="234"/>
      <c r="F36" s="234"/>
      <c r="G36" s="214"/>
      <c r="H36" s="175"/>
    </row>
    <row r="37" spans="2:18" s="142" customFormat="1" ht="17.25" customHeight="1" thickBot="1">
      <c r="B37" s="176"/>
      <c r="C37" s="235" t="s">
        <v>75</v>
      </c>
      <c r="D37" s="234"/>
      <c r="E37" s="234"/>
      <c r="F37" s="234"/>
      <c r="G37" s="214"/>
      <c r="H37" s="175"/>
    </row>
    <row r="38" spans="2:18" s="142" customFormat="1" ht="16.5">
      <c r="B38" s="176"/>
      <c r="C38" s="236" t="s">
        <v>260</v>
      </c>
      <c r="D38" s="237"/>
      <c r="E38" s="237"/>
      <c r="F38" s="238"/>
      <c r="G38" s="239"/>
      <c r="H38" s="175"/>
    </row>
    <row r="39" spans="2:18" s="142" customFormat="1" ht="40.15" customHeight="1">
      <c r="B39" s="176"/>
      <c r="C39" s="479" t="s">
        <v>41</v>
      </c>
      <c r="D39" s="480"/>
      <c r="E39" s="480"/>
      <c r="F39" s="308">
        <f>(D25*D26)</f>
        <v>1802.3999999999999</v>
      </c>
      <c r="G39" s="311" t="s">
        <v>76</v>
      </c>
      <c r="H39" s="175"/>
    </row>
    <row r="40" spans="2:18" s="142" customFormat="1" ht="34.9" customHeight="1">
      <c r="B40" s="176"/>
      <c r="C40" s="515" t="s">
        <v>190</v>
      </c>
      <c r="D40" s="516"/>
      <c r="E40" s="516"/>
      <c r="F40" s="251">
        <f>((D32*D33)+(D31*D34))/1000</f>
        <v>0</v>
      </c>
      <c r="G40" s="316" t="s">
        <v>76</v>
      </c>
      <c r="H40" s="175"/>
    </row>
    <row r="41" spans="2:18" s="142" customFormat="1" ht="42" customHeight="1" thickBot="1">
      <c r="B41" s="176"/>
      <c r="C41" s="489" t="s">
        <v>28</v>
      </c>
      <c r="D41" s="490"/>
      <c r="E41" s="490"/>
      <c r="F41" s="330">
        <f>(F39+F40)/D23</f>
        <v>6.0079999999999995E-2</v>
      </c>
      <c r="G41" s="315" t="s">
        <v>165</v>
      </c>
      <c r="H41" s="175"/>
    </row>
    <row r="42" spans="2:18" s="142" customFormat="1" ht="16.5">
      <c r="B42" s="176"/>
      <c r="C42" s="445" t="s">
        <v>282</v>
      </c>
      <c r="D42" s="446"/>
      <c r="E42" s="446"/>
      <c r="F42" s="245"/>
      <c r="G42" s="246"/>
      <c r="H42" s="175"/>
      <c r="R42" s="204"/>
    </row>
    <row r="43" spans="2:18" s="142" customFormat="1" ht="38.450000000000003" customHeight="1">
      <c r="B43" s="176"/>
      <c r="C43" s="495" t="s">
        <v>281</v>
      </c>
      <c r="D43" s="496"/>
      <c r="E43" s="496"/>
      <c r="F43" s="251">
        <f>(E25*D27)</f>
        <v>1839.9499999999998</v>
      </c>
      <c r="G43" s="311" t="s">
        <v>76</v>
      </c>
      <c r="H43" s="175"/>
    </row>
    <row r="44" spans="2:18" s="142" customFormat="1" ht="34.9" customHeight="1">
      <c r="B44" s="176"/>
      <c r="C44" s="493" t="s">
        <v>277</v>
      </c>
      <c r="D44" s="494"/>
      <c r="E44" s="494"/>
      <c r="F44" s="310">
        <f>((E31*D34)+(E32*D33))/1000</f>
        <v>0</v>
      </c>
      <c r="G44" s="316" t="s">
        <v>76</v>
      </c>
      <c r="H44" s="175"/>
    </row>
    <row r="45" spans="2:18" s="142" customFormat="1" ht="42" customHeight="1" thickBot="1">
      <c r="B45" s="176"/>
      <c r="C45" s="489" t="s">
        <v>274</v>
      </c>
      <c r="D45" s="490"/>
      <c r="E45" s="490"/>
      <c r="F45" s="326">
        <f>(F43+F44)/E23</f>
        <v>5.2569999999999992E-2</v>
      </c>
      <c r="G45" s="243" t="s">
        <v>165</v>
      </c>
      <c r="H45" s="318"/>
    </row>
    <row r="46" spans="2:18" s="142" customFormat="1" ht="16.5">
      <c r="B46" s="176"/>
      <c r="C46" s="319" t="s">
        <v>74</v>
      </c>
      <c r="D46" s="237"/>
      <c r="E46" s="237"/>
      <c r="F46" s="245"/>
      <c r="G46" s="239"/>
      <c r="H46" s="175"/>
    </row>
    <row r="47" spans="2:18" s="142" customFormat="1" ht="36" customHeight="1">
      <c r="B47" s="176"/>
      <c r="C47" s="515" t="s">
        <v>275</v>
      </c>
      <c r="D47" s="516"/>
      <c r="E47" s="516"/>
      <c r="F47" s="335">
        <f>F41-F45</f>
        <v>7.5100000000000028E-3</v>
      </c>
      <c r="G47" s="309" t="s">
        <v>165</v>
      </c>
      <c r="H47" s="175"/>
      <c r="J47" s="152"/>
    </row>
    <row r="48" spans="2:18" s="142" customFormat="1" ht="29.45" customHeight="1" thickBot="1">
      <c r="B48" s="176"/>
      <c r="C48" s="517" t="s">
        <v>24</v>
      </c>
      <c r="D48" s="518"/>
      <c r="E48" s="331"/>
      <c r="F48" s="321">
        <f>F47*E23</f>
        <v>262.85000000000008</v>
      </c>
      <c r="G48" s="243" t="s">
        <v>76</v>
      </c>
      <c r="H48" s="175"/>
    </row>
    <row r="49" spans="1:10" s="142" customFormat="1" ht="17.25" thickBot="1">
      <c r="B49" s="176"/>
      <c r="C49" s="212"/>
      <c r="D49" s="214"/>
      <c r="E49" s="214"/>
      <c r="F49" s="255"/>
      <c r="G49" s="214"/>
      <c r="H49" s="175"/>
    </row>
    <row r="50" spans="1:10" s="142" customFormat="1" ht="18" customHeight="1" thickBot="1">
      <c r="B50" s="176"/>
      <c r="C50" s="256" t="s">
        <v>259</v>
      </c>
      <c r="D50" s="214"/>
      <c r="E50" s="257"/>
      <c r="F50" s="258">
        <f>F48/1000</f>
        <v>0.26285000000000008</v>
      </c>
      <c r="G50" s="259" t="s">
        <v>77</v>
      </c>
      <c r="H50" s="175"/>
    </row>
    <row r="51" spans="1:10" s="142" customFormat="1" ht="16.5">
      <c r="B51" s="176"/>
      <c r="C51" s="212"/>
      <c r="D51" s="260"/>
      <c r="E51" s="449"/>
      <c r="F51" s="450"/>
      <c r="G51" s="450"/>
      <c r="H51" s="175"/>
    </row>
    <row r="52" spans="1:10" s="142" customFormat="1" ht="18" customHeight="1">
      <c r="B52" s="176"/>
      <c r="C52" s="261" t="s">
        <v>128</v>
      </c>
      <c r="D52" s="262"/>
      <c r="E52" s="263"/>
      <c r="F52" s="262"/>
      <c r="G52" s="264"/>
      <c r="H52" s="175"/>
    </row>
    <row r="53" spans="1:10" s="142" customFormat="1" ht="76.900000000000006" customHeight="1">
      <c r="B53" s="176"/>
      <c r="C53" s="438" t="s">
        <v>176</v>
      </c>
      <c r="D53" s="436"/>
      <c r="E53" s="436"/>
      <c r="F53" s="436"/>
      <c r="G53" s="437"/>
      <c r="H53" s="175"/>
    </row>
    <row r="54" spans="1:10" s="142" customFormat="1" ht="16.5">
      <c r="B54" s="176"/>
      <c r="C54" s="265"/>
      <c r="D54" s="266"/>
      <c r="E54" s="266"/>
      <c r="F54" s="266"/>
      <c r="G54" s="266"/>
      <c r="H54" s="175"/>
    </row>
    <row r="55" spans="1:10" s="142" customFormat="1" ht="16.5">
      <c r="B55" s="176"/>
      <c r="C55" s="261" t="s">
        <v>135</v>
      </c>
      <c r="D55" s="262"/>
      <c r="E55" s="267"/>
      <c r="F55" s="268"/>
      <c r="G55" s="262"/>
      <c r="H55" s="175"/>
    </row>
    <row r="56" spans="1:10" s="142" customFormat="1" ht="91.5" customHeight="1">
      <c r="B56" s="269"/>
      <c r="C56" s="435" t="s">
        <v>137</v>
      </c>
      <c r="D56" s="436"/>
      <c r="E56" s="436"/>
      <c r="F56" s="436"/>
      <c r="G56" s="437"/>
      <c r="H56" s="175"/>
      <c r="J56" s="270"/>
    </row>
    <row r="57" spans="1:10" s="142" customFormat="1" ht="15" customHeight="1" thickBot="1">
      <c r="B57" s="271"/>
      <c r="C57" s="272"/>
      <c r="D57" s="272"/>
      <c r="E57" s="272"/>
      <c r="F57" s="272"/>
      <c r="G57" s="272"/>
      <c r="H57" s="273"/>
    </row>
    <row r="58" spans="1:10" s="142" customFormat="1" ht="15" customHeight="1"/>
    <row r="59" spans="1:10" ht="14.25" customHeight="1"/>
    <row r="60" spans="1:10" ht="21" customHeight="1"/>
    <row r="61" spans="1:10">
      <c r="A61" s="336"/>
      <c r="I61" s="336"/>
    </row>
    <row r="62" spans="1:10" ht="27.75" customHeight="1">
      <c r="A62" s="336"/>
      <c r="I62" s="336"/>
    </row>
    <row r="65" ht="37.5" customHeight="1"/>
  </sheetData>
  <protectedRanges>
    <protectedRange sqref="D23:E23 D25:E27" name="Bereik1_4_3"/>
  </protectedRanges>
  <mergeCells count="28">
    <mergeCell ref="E51:G51"/>
    <mergeCell ref="C53:G53"/>
    <mergeCell ref="C56:G56"/>
    <mergeCell ref="C44:E44"/>
    <mergeCell ref="C40:E40"/>
    <mergeCell ref="C43:E43"/>
    <mergeCell ref="C47:E47"/>
    <mergeCell ref="C48:D48"/>
    <mergeCell ref="C45:E45"/>
    <mergeCell ref="C18:F18"/>
    <mergeCell ref="C19:G19"/>
    <mergeCell ref="C39:E39"/>
    <mergeCell ref="C42:E42"/>
    <mergeCell ref="D10:G10"/>
    <mergeCell ref="D11:G11"/>
    <mergeCell ref="D12:G12"/>
    <mergeCell ref="D13:G13"/>
    <mergeCell ref="D14:G14"/>
    <mergeCell ref="D33:E33"/>
    <mergeCell ref="D34:E34"/>
    <mergeCell ref="D26:E26"/>
    <mergeCell ref="D27:E27"/>
    <mergeCell ref="C41:E41"/>
    <mergeCell ref="D4:G4"/>
    <mergeCell ref="D5:G5"/>
    <mergeCell ref="D6:G6"/>
    <mergeCell ref="D8:G8"/>
    <mergeCell ref="D9:G9"/>
  </mergeCells>
  <phoneticPr fontId="3" type="noConversion"/>
  <pageMargins left="0.70866141732283472" right="0.70866141732283472" top="0.74803149606299213" bottom="0.74803149606299213" header="0.31496062992125984" footer="0.31496062992125984"/>
  <pageSetup paperSize="9" scale="70" fitToHeight="2"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14:formula1>
            <xm:f>'GER-waarden'!$B$157:$B$169</xm:f>
          </x14:formula1>
          <xm:sqref>D24:E24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b15848ff-ca16-4813-bad8-a92d09325781" ContentTypeId="0x01010032D923E531974EABBC32AD71A762C58D00D2425473D9DE461DB1C714AC4872504A" PreviousValue="false"/>
</file>

<file path=customXml/item2.xml><?xml version="1.0" encoding="utf-8"?>
<ct:contentTypeSchema xmlns:ct="http://schemas.microsoft.com/office/2006/metadata/contentType" xmlns:ma="http://schemas.microsoft.com/office/2006/metadata/properties/metaAttributes" ct:_="" ma:_="" ma:contentTypeName="ProjectDocument" ma:contentTypeID="0x01010032D923E531974EABBC32AD71A762C58D00D2425473D9DE461DB1C714AC4872504A00244DE9C646F2CD47899AD9D3BE418836" ma:contentTypeVersion="3" ma:contentTypeDescription="Een nieuw document maken." ma:contentTypeScope="" ma:versionID="96f1191505127c09f59adf9cf9170160">
  <xsd:schema xmlns:xsd="http://www.w3.org/2001/XMLSchema" xmlns:xs="http://www.w3.org/2001/XMLSchema" xmlns:p="http://schemas.microsoft.com/office/2006/metadata/properties" xmlns:ns2="850f1e76-e290-4779-b859-23d729297c51" targetNamespace="http://schemas.microsoft.com/office/2006/metadata/properties" ma:root="true" ma:fieldsID="3b00140f24035119c051eb0fee6ca1dc"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b68c4a47-9fb6-406c-bbef-355c3c41ce40}" ma:internalName="TaxCatchAll" ma:showField="CatchAllData" ma:web="f1d6f35c-899b-4184-8b0d-ab33e4cf8d9e">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b68c4a47-9fb6-406c-bbef-355c3c41ce40}" ma:internalName="TaxCatchAllLabel" ma:readOnly="true" ma:showField="CatchAllDataLabel" ma:web="f1d6f35c-899b-4184-8b0d-ab33e4cf8d9e">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2.I89</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Grondstoffen Ketens</TermName>
          <TermId xmlns="http://schemas.microsoft.com/office/infopath/2007/PartnerControls">fbba954b-aeda-4a61-8153-c075bbbc2bb1</TermId>
        </TermInfo>
      </Terms>
    </lca88ee71ce7428c86da6846b19763e3>
    <SureECM_ProjectName xmlns="850f1e76-e290-4779-b859-23d729297c51">NRK  assistentie ketenmaatregelen EEPs</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Ketens</TermName>
          <TermId xmlns="http://schemas.microsoft.com/office/infopath/2007/PartnerControls">cc0baba9-f27e-4223-9a16-0cc189d2a0cb</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Lonneke de Graaff (CE Delft)</DisplayName>
        <AccountId>19</AccountId>
        <AccountType/>
      </UserInfo>
    </SureECM_ProjectLeader>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D2217-99DC-484C-AB22-4F3EBDF88898}">
  <ds:schemaRefs>
    <ds:schemaRef ds:uri="Microsoft.SharePoint.Taxonomy.ContentTypeSync"/>
  </ds:schemaRefs>
</ds:datastoreItem>
</file>

<file path=customXml/itemProps2.xml><?xml version="1.0" encoding="utf-8"?>
<ds:datastoreItem xmlns:ds="http://schemas.openxmlformats.org/officeDocument/2006/customXml" ds:itemID="{67A53304-BE5E-4494-B474-E0DBF2EB4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f1e76-e290-4779-b859-23d72929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EA69F8-0886-4C45-8D94-989F40449DB1}">
  <ds:schemaRefs>
    <ds:schemaRef ds:uri="http://schemas.microsoft.com/office/2006/metadata/longProperties"/>
  </ds:schemaRefs>
</ds:datastoreItem>
</file>

<file path=customXml/itemProps4.xml><?xml version="1.0" encoding="utf-8"?>
<ds:datastoreItem xmlns:ds="http://schemas.openxmlformats.org/officeDocument/2006/customXml" ds:itemID="{029BB11F-5B01-48BD-B715-591056A1C497}">
  <ds:schemaRefs>
    <ds:schemaRef ds:uri="http://www.w3.org/XML/1998/namespace"/>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850f1e76-e290-4779-b859-23d729297c51"/>
  </ds:schemaRefs>
</ds:datastoreItem>
</file>

<file path=customXml/itemProps5.xml><?xml version="1.0" encoding="utf-8"?>
<ds:datastoreItem xmlns:ds="http://schemas.openxmlformats.org/officeDocument/2006/customXml" ds:itemID="{0C1599D4-52EC-4C43-BF9D-207C0713C8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vt:i4>
      </vt:variant>
      <vt:variant>
        <vt:lpstr>Benoemde bereiken</vt:lpstr>
      </vt:variant>
      <vt:variant>
        <vt:i4>16</vt:i4>
      </vt:variant>
    </vt:vector>
  </HeadingPairs>
  <TitlesOfParts>
    <vt:vector size="33" baseType="lpstr">
      <vt:lpstr>Inleiding</vt:lpstr>
      <vt:lpstr>Subcategorieën</vt:lpstr>
      <vt:lpstr>Afdanking tbv recycling</vt:lpstr>
      <vt:lpstr>Recycling</vt:lpstr>
      <vt:lpstr>Extern recyclaat</vt:lpstr>
      <vt:lpstr>Intern recyclaat</vt:lpstr>
      <vt:lpstr>Ontwerpaanpassingen</vt:lpstr>
      <vt:lpstr>Materiaalbesparing</vt:lpstr>
      <vt:lpstr>Ander type kunststof</vt:lpstr>
      <vt:lpstr>Biopolymeren GER</vt:lpstr>
      <vt:lpstr>Biopolymeren CO2</vt:lpstr>
      <vt:lpstr>Substitutie</vt:lpstr>
      <vt:lpstr>Ander transportmiddel</vt:lpstr>
      <vt:lpstr>Transport minder km</vt:lpstr>
      <vt:lpstr>Transport Beladingsgraad</vt:lpstr>
      <vt:lpstr>GER-waarden</vt:lpstr>
      <vt:lpstr>Colofon</vt:lpstr>
      <vt:lpstr>'Afdanking tbv recycling'!Afdrukbereik</vt:lpstr>
      <vt:lpstr>'Ander transportmiddel'!Afdrukbereik</vt:lpstr>
      <vt:lpstr>'Ander type kunststof'!Afdrukbereik</vt:lpstr>
      <vt:lpstr>'Biopolymeren CO2'!Afdrukbereik</vt:lpstr>
      <vt:lpstr>'Biopolymeren GER'!Afdrukbereik</vt:lpstr>
      <vt:lpstr>'Extern recyclaat'!Afdrukbereik</vt:lpstr>
      <vt:lpstr>'GER-waarden'!Afdrukbereik</vt:lpstr>
      <vt:lpstr>Inleiding!Afdrukbereik</vt:lpstr>
      <vt:lpstr>'Intern recyclaat'!Afdrukbereik</vt:lpstr>
      <vt:lpstr>Materiaalbesparing!Afdrukbereik</vt:lpstr>
      <vt:lpstr>Recycling!Afdrukbereik</vt:lpstr>
      <vt:lpstr>Subcategorieën!Afdrukbereik</vt:lpstr>
      <vt:lpstr>Substitutie!Afdrukbereik</vt:lpstr>
      <vt:lpstr>'Transport Beladingsgraad'!Afdrukbereik</vt:lpstr>
      <vt:lpstr>'Transport minder km'!Afdrukbereik</vt:lpstr>
      <vt:lpstr>Dropdown_afdanking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BECO</dc:creator>
  <cp:lastModifiedBy>Ingrid van den Tempel-Horváth</cp:lastModifiedBy>
  <cp:lastPrinted>2016-12-23T11:18:06Z</cp:lastPrinted>
  <dcterms:created xsi:type="dcterms:W3CDTF">2008-12-22T09:32:30Z</dcterms:created>
  <dcterms:modified xsi:type="dcterms:W3CDTF">2017-01-18T09:53:56Z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0x01010032D923E531974EABBC32AD71A762C58D00D2425473D9DE461DB1C714AC4872504A00244DE9C646F2CD47899AD9D3BE418836</vt:lpwstr>
  </property>
  <property fmtid="{D5CDD505-2E9C-101B-9397-08002B2CF9AE}" pid="3" name="Sector">
    <vt:lpwstr>4;#Ketens|cc0baba9-f27e-4223-9a16-0cc189d2a0cb</vt:lpwstr>
  </property>
  <property fmtid="{D5CDD505-2E9C-101B-9397-08002B2CF9AE}" pid="4" name="TaxKeyword">
    <vt:lpwstr/>
  </property>
  <property fmtid="{D5CDD505-2E9C-101B-9397-08002B2CF9AE}" pid="5" name="SureECM_ProjectFase">
    <vt:lpwstr>1;#1|344ddbc6-b8ca-4407-8593-4a569d0d2a68</vt:lpwstr>
  </property>
  <property fmtid="{D5CDD505-2E9C-101B-9397-08002B2CF9AE}" pid="6" name="Thema">
    <vt:lpwstr>5;#Grondstoffen Ketens|fbba954b-aeda-4a61-8153-c075bbbc2bb1</vt:lpwstr>
  </property>
  <property fmtid="{D5CDD505-2E9C-101B-9397-08002B2CF9AE}" pid="7" name="l12fe84a36864949a59878b19da0c598">
    <vt:lpwstr/>
  </property>
  <property fmtid="{D5CDD505-2E9C-101B-9397-08002B2CF9AE}" pid="8" name="lcac597a5b49440ea6babd04cf3d5f6f">
    <vt:lpwstr/>
  </property>
  <property fmtid="{D5CDD505-2E9C-101B-9397-08002B2CF9AE}" pid="9" name="display_urn:schemas-microsoft-com:office:office#SureECM_ProjectLeader">
    <vt:lpwstr>Lonneke de Graaff (CE Delft)</vt:lpwstr>
  </property>
  <property fmtid="{D5CDD505-2E9C-101B-9397-08002B2CF9AE}" pid="10" name="k9f5989c231d40f9901a89ca9b8aa92c">
    <vt:lpwstr/>
  </property>
  <property fmtid="{D5CDD505-2E9C-101B-9397-08002B2CF9AE}" pid="11" name="Projectsite status">
    <vt:lpwstr>Actief</vt:lpwstr>
  </property>
  <property fmtid="{D5CDD505-2E9C-101B-9397-08002B2CF9AE}" pid="12" name="Afdeling CE">
    <vt:lpwstr/>
  </property>
  <property fmtid="{D5CDD505-2E9C-101B-9397-08002B2CF9AE}" pid="13" name="Klant">
    <vt:lpwstr>NRK Verpakkingen VMK, Ruijter W.F. (Erik) de </vt:lpwstr>
  </property>
  <property fmtid="{D5CDD505-2E9C-101B-9397-08002B2CF9AE}" pid="14" name="CE bieb trefwoord">
    <vt:lpwstr/>
  </property>
  <property fmtid="{D5CDD505-2E9C-101B-9397-08002B2CF9AE}" pid="15" name="CE bieb brontype">
    <vt:lpwstr/>
  </property>
</Properties>
</file>